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1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ONCO'!$A$1:$J$46</definedName>
    <definedName name="_xlnm.Print_Area" localSheetId="10">'CV UNICE'!$A$1:$J$46</definedName>
  </definedNames>
  <calcPr fullCalcOnLoad="1"/>
</workbook>
</file>

<file path=xl/sharedStrings.xml><?xml version="1.0" encoding="utf-8"?>
<sst xmlns="http://schemas.openxmlformats.org/spreadsheetml/2006/main" count="955" uniqueCount="129">
  <si>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</si>
  <si>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</si>
  <si>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</si>
  <si>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</si>
  <si>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</si>
  <si>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</si>
  <si>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</si>
  <si>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</si>
  <si>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</si>
  <si>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</si>
  <si>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</si>
  <si>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</si>
  <si>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</si>
  <si>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</si>
  <si>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</si>
  <si>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</si>
  <si>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</si>
  <si>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</si>
  <si>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</si>
  <si>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</si>
  <si>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</si>
  <si>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</si>
  <si>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</si>
  <si>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</si>
  <si>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</si>
  <si>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</si>
  <si>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</si>
  <si>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</si>
  <si>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</si>
  <si>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</si>
  <si>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</si>
  <si>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</si>
  <si>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</si>
  <si>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</si>
  <si>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</si>
  <si>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</si>
  <si>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</si>
  <si>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</si>
  <si>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</si>
  <si>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</si>
  <si>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</si>
  <si>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</si>
  <si>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</si>
  <si>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</si>
  <si>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</si>
  <si>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</si>
  <si>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</si>
  <si>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</si>
  <si>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</si>
  <si>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</si>
  <si>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</si>
  <si>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</si>
  <si>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</si>
  <si>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</si>
  <si>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</si>
  <si>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</si>
  <si>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</si>
  <si>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</si>
  <si>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</si>
  <si>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</si>
  <si>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</si>
  <si>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</si>
  <si>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</si>
  <si>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</si>
  <si>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</si>
  <si>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</si>
  <si>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</si>
  <si>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</si>
  <si>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</si>
  <si>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</si>
  <si>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</si>
  <si>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</si>
  <si>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</si>
  <si>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</si>
  <si>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</si>
  <si>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</si>
  <si>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</si>
  <si>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</si>
  <si>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</si>
  <si>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</si>
  <si>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</si>
  <si>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</si>
  <si>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</si>
  <si>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</si>
  <si>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</si>
  <si>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</si>
  <si>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</si>
  <si>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</si>
  <si>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</si>
  <si>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>LOTUS PHARMA</t>
  </si>
  <si>
    <t>ECOFARMACIA NETWORK</t>
  </si>
  <si>
    <t>36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</si>
  <si>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</si>
  <si>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</si>
  <si>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</si>
  <si>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</si>
  <si>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</si>
  <si>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</si>
  <si>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</si>
  <si>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</si>
  <si>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</si>
  <si>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</si>
  <si>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</si>
  <si>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</si>
  <si>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</si>
  <si>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</si>
  <si>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</si>
  <si>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</si>
  <si>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</si>
  <si>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</si>
  <si>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</si>
  <si>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</si>
  <si>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KOVAPROD</t>
  </si>
  <si>
    <t>BRETCU</t>
  </si>
  <si>
    <t>LENA FARMACEUTICA</t>
  </si>
  <si>
    <t>37</t>
  </si>
  <si>
    <t>38</t>
  </si>
  <si>
    <t>SITUATIA CONSUMULUI DE MEDICAMENTE IN LUNA  SEPTEMBIRE 2019</t>
  </si>
  <si>
    <t>SITUATIA CONSUMULUI DE MEDICAMENTE PENTRU DIABET   LUNA SEPTEMBRIE 2019</t>
  </si>
  <si>
    <t>SITUATIA CONSUMULUI DE MEDICAMENTE PENTRU INSULINE LUNA SEPTEMBRIE 2019</t>
  </si>
  <si>
    <t>SITUATIA CONSUMULUI DE MEDICAMENTE LA  DIABET SI INSULINE SEPTEMBRIE 2019</t>
  </si>
  <si>
    <t>SITUATIA CONSUMULUI LA TESTE PENTRU LUNA SEPTEMBRIE 2019</t>
  </si>
  <si>
    <t>SITUATIA CONSUMULUI DE MEDICAMENTE PENTRU PNS COST VOLUM   LUNA SEPTEMBRIE 2019</t>
  </si>
  <si>
    <t>SITUATIA CONSUMULUI DE MEDICAMENTE PENTRU ONCOLOGIE  LUNA SEPTEMBRIE 2019</t>
  </si>
  <si>
    <t>SITUATIA CONSUMULUI DE MEDICAMENTE LA STARI POSTTRANSPLANT SEPTEMBRIE 2019</t>
  </si>
  <si>
    <t>SITUATIA CONSUMULUI DE MEDICAMENTE PENTRU SCLEROZA   LUNA SEPTEMBRIE 2019</t>
  </si>
  <si>
    <t>SITUATIA CONSUMULUI DE MEDIC. PENTRU UNICE COST VOLUM   LUNA SEPTEMBRIE 2019</t>
  </si>
  <si>
    <t>SITUATIA CONSUMULUI DE MEDICAMENTE LA STARI MUCOVISCIDOZA SEPTEMBRIE 2019</t>
  </si>
  <si>
    <t>SITUATIA CONSUMULUI DE MEDICAMENTE PENTRU PENSIONARI PANA LA 1139 LEI SEPTEMBRIE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</si>
</sst>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2" borderId="0" xfId="0" applyNumberFormat="1" applyFont="1" applyFill="1" applyAlignment="1">
      <alignment/>
    </xf>
    <xf numFmtId="4" fontId="17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2" borderId="13" xfId="0" applyNumberFormat="1" applyFont="1" applyFill="1" applyBorder="1" applyAlignment="1">
      <alignment/>
    </xf>
    <xf numFmtId="4" fontId="2" fillId="2" borderId="14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17" fillId="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G274"/>
  <sheetViews>
    <sheetView workbookViewId="0" topLeftCell="A9">
      <selection activeCell="U5" sqref="U5:U43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3" bestFit="1" customWidth="1"/>
    <col min="20" max="20" width="11.7109375" style="19" bestFit="1" customWidth="1"/>
    <col min="21" max="21" width="11.7109375" style="4" bestFit="1" customWidth="1"/>
    <col min="22" max="22" width="11.7109375" style="89" bestFit="1" customWidth="1"/>
    <col min="23" max="23" width="9.140625" style="4" customWidth="1"/>
    <col min="24" max="24" width="11.7109375" style="4" bestFit="1" customWidth="1"/>
    <col min="25" max="59" width="9.140625" style="4" customWidth="1"/>
  </cols>
  <sheetData>
    <row r="3" spans="2:19" ht="15.75">
      <c r="B3" s="20" t="s">
        <v>117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</row>
    <row r="4" spans="1:19" ht="31.5">
      <c r="A4" s="70" t="s">
        <v>0</v>
      </c>
      <c r="B4" s="71" t="s">
        <v>1</v>
      </c>
      <c r="C4" s="72" t="s">
        <v>2</v>
      </c>
      <c r="D4" s="72" t="s">
        <v>3</v>
      </c>
      <c r="E4" s="72" t="s">
        <v>4</v>
      </c>
      <c r="F4" s="72" t="s">
        <v>5</v>
      </c>
      <c r="G4" s="72" t="s">
        <v>95</v>
      </c>
      <c r="H4" s="73" t="s">
        <v>99</v>
      </c>
      <c r="I4" s="72" t="s">
        <v>100</v>
      </c>
      <c r="J4" s="72" t="s">
        <v>104</v>
      </c>
      <c r="K4" s="72" t="s">
        <v>101</v>
      </c>
      <c r="L4" s="72" t="s">
        <v>102</v>
      </c>
      <c r="M4" s="72" t="s">
        <v>107</v>
      </c>
      <c r="N4" s="72" t="s">
        <v>105</v>
      </c>
      <c r="O4" s="72" t="s">
        <v>103</v>
      </c>
      <c r="P4" s="72" t="s">
        <v>106</v>
      </c>
      <c r="Q4" s="72" t="s">
        <v>109</v>
      </c>
      <c r="R4" s="74" t="s">
        <v>92</v>
      </c>
      <c r="S4" s="73" t="s">
        <v>108</v>
      </c>
    </row>
    <row r="5" spans="1:24" ht="15.75">
      <c r="A5" s="75">
        <v>1</v>
      </c>
      <c r="B5" s="76" t="s">
        <v>6</v>
      </c>
      <c r="C5" s="26">
        <f>28885+7085.01+3487.04+966.09</f>
        <v>40423.14</v>
      </c>
      <c r="D5" s="26">
        <f>33508.39+4304.58+4306.22+573.55</f>
        <v>42692.740000000005</v>
      </c>
      <c r="E5" s="26">
        <f>49130.32+4245.94+3650+423.89</f>
        <v>57450.15</v>
      </c>
      <c r="F5" s="26">
        <f>2365.13+453.79+246.63+72.92</f>
        <v>3138.4700000000003</v>
      </c>
      <c r="G5" s="26">
        <f>3911.98+520.63+340.84+56.09</f>
        <v>4829.54</v>
      </c>
      <c r="H5" s="27">
        <v>1450.3</v>
      </c>
      <c r="I5" s="26"/>
      <c r="J5" s="26">
        <v>952.23</v>
      </c>
      <c r="K5" s="26"/>
      <c r="L5" s="26">
        <v>24953.1</v>
      </c>
      <c r="M5" s="26"/>
      <c r="N5" s="26">
        <v>5978.85</v>
      </c>
      <c r="O5" s="26"/>
      <c r="P5" s="26">
        <v>9278.72</v>
      </c>
      <c r="Q5" s="77">
        <f>H5+I5+J5+K5+L5+M5+N5+O5+P5</f>
        <v>42613.2</v>
      </c>
      <c r="R5" s="78">
        <f aca="true" t="shared" si="0" ref="R5:R42">C5+D5+E5+F5+G5+H5+I5+J5+K5+L5+M5+N5+O5+P5</f>
        <v>191147.24000000002</v>
      </c>
      <c r="S5" s="79">
        <f>R5-Q5</f>
        <v>148534.04000000004</v>
      </c>
      <c r="T5" s="95">
        <f>R5+PENS!E7+DIABET!C6+INS!C7+MIXT!E6+TESTE!C7+TESTE!D7+'COST VOLUM ONCO'!C6+ONCO!C6+POSTT!C6+SCLEROZ!C6+'CV UNICE'!C6+MUCOV!C6+MUCOV!D6</f>
        <v>449101.18000000005</v>
      </c>
      <c r="U5" s="82">
        <f>R5+PENS!C7</f>
        <v>197013.75000000003</v>
      </c>
      <c r="V5" s="84"/>
      <c r="X5" s="82"/>
    </row>
    <row r="6" spans="1:24" ht="15.75">
      <c r="A6" s="75">
        <v>2</v>
      </c>
      <c r="B6" s="76" t="s">
        <v>7</v>
      </c>
      <c r="C6" s="26">
        <f>10607.61+7759.82</f>
        <v>18367.43</v>
      </c>
      <c r="D6" s="26">
        <f>14519.64+7667.36</f>
        <v>22187</v>
      </c>
      <c r="E6" s="26">
        <f>3327.05+8848.43</f>
        <v>12175.48</v>
      </c>
      <c r="F6" s="26">
        <f>597.18+340.91</f>
        <v>938.0899999999999</v>
      </c>
      <c r="G6" s="26">
        <f>1710.5+1223.63</f>
        <v>2934.13</v>
      </c>
      <c r="H6" s="27">
        <v>2976.16</v>
      </c>
      <c r="I6" s="26"/>
      <c r="J6" s="26"/>
      <c r="K6" s="26">
        <v>2678.98</v>
      </c>
      <c r="L6" s="26">
        <v>2678.98</v>
      </c>
      <c r="M6" s="26"/>
      <c r="N6" s="26">
        <v>3299.87</v>
      </c>
      <c r="O6" s="26"/>
      <c r="P6" s="26"/>
      <c r="Q6" s="77">
        <f aca="true" t="shared" si="1" ref="Q6:Q16">H6+I6+J6+K6+L6+M6+N6+O6+P6</f>
        <v>11633.989999999998</v>
      </c>
      <c r="R6" s="78">
        <f t="shared" si="0"/>
        <v>68236.12</v>
      </c>
      <c r="S6" s="79">
        <f aca="true" t="shared" si="2" ref="S6:S42">R6-Q6</f>
        <v>56602.13</v>
      </c>
      <c r="T6" s="95">
        <f>R6+PENS!E8+DIABET!C7+INS!C8+MIXT!E7+TESTE!C8+TESTE!D8+'COST VOLUM ONCO'!C7+ONCO!C7+POSTT!C7+SCLEROZ!C7+'CV UNICE'!C7+MUCOV!C7+MUCOV!D7</f>
        <v>121619.59999999999</v>
      </c>
      <c r="U6" s="82">
        <f>R6+PENS!C8</f>
        <v>72421.51</v>
      </c>
      <c r="V6" s="84"/>
      <c r="X6" s="82"/>
    </row>
    <row r="7" spans="1:24" ht="15.75">
      <c r="A7" s="75">
        <v>3</v>
      </c>
      <c r="B7" s="76" t="s">
        <v>8</v>
      </c>
      <c r="C7" s="26">
        <f>7199.55+5296.09+4559.21+11249.32+1915.4</f>
        <v>30219.57</v>
      </c>
      <c r="D7" s="26">
        <f>8363.35+4117.62+5926.41+10307.97+991.71</f>
        <v>29707.059999999998</v>
      </c>
      <c r="E7" s="26">
        <f>2606.12+4264.52+3093.61+5050.43+238.08</f>
        <v>15252.76</v>
      </c>
      <c r="F7" s="26">
        <f>1627.35+934.38+635.46+2376.52+1247.32</f>
        <v>6821.03</v>
      </c>
      <c r="G7" s="26">
        <f>1111.19+373.91+649.16+1165.31+106.49</f>
        <v>3406.06</v>
      </c>
      <c r="H7" s="27"/>
      <c r="I7" s="26"/>
      <c r="J7" s="26"/>
      <c r="K7" s="26"/>
      <c r="L7" s="26"/>
      <c r="M7" s="26"/>
      <c r="N7" s="26"/>
      <c r="O7" s="26"/>
      <c r="P7" s="26"/>
      <c r="Q7" s="77">
        <f t="shared" si="1"/>
        <v>0</v>
      </c>
      <c r="R7" s="78">
        <f t="shared" si="0"/>
        <v>85406.48</v>
      </c>
      <c r="S7" s="79">
        <f t="shared" si="2"/>
        <v>85406.48</v>
      </c>
      <c r="T7" s="95">
        <f>R7+PENS!E9+DIABET!C8+INS!C9+MIXT!E8+TESTE!C9+TESTE!D9+'COST VOLUM ONCO'!C8+ONCO!C8+POSTT!C8+SCLEROZ!C8+'CV UNICE'!C8+MUCOV!C8+MUCOV!D8</f>
        <v>103112.36</v>
      </c>
      <c r="U7" s="82">
        <f>R7+PENS!C9</f>
        <v>89063.40999999999</v>
      </c>
      <c r="V7" s="84"/>
      <c r="X7" s="82"/>
    </row>
    <row r="8" spans="1:24" ht="15.75">
      <c r="A8" s="75">
        <v>4</v>
      </c>
      <c r="B8" s="76" t="s">
        <v>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7"/>
      <c r="I8" s="26"/>
      <c r="J8" s="26"/>
      <c r="K8" s="26"/>
      <c r="L8" s="26"/>
      <c r="M8" s="26"/>
      <c r="N8" s="26"/>
      <c r="O8" s="26"/>
      <c r="P8" s="26"/>
      <c r="Q8" s="77">
        <f t="shared" si="1"/>
        <v>0</v>
      </c>
      <c r="R8" s="78">
        <f t="shared" si="0"/>
        <v>0</v>
      </c>
      <c r="S8" s="79">
        <f t="shared" si="2"/>
        <v>0</v>
      </c>
      <c r="T8" s="84">
        <f>R8+PENS!E10+DIABET!C9+INS!C10+MIXT!E9+TESTE!C10+TESTE!D10+'COST VOLUM ONCO'!C9+ONCO!C9+POSTT!C9+SCLEROZ!C9+'CV UNICE'!C9+MUCOV!C9+MUCOV!D9</f>
        <v>0</v>
      </c>
      <c r="U8" s="82">
        <f>R8+PENS!C10</f>
        <v>0</v>
      </c>
      <c r="V8" s="88"/>
      <c r="X8" s="82"/>
    </row>
    <row r="9" spans="1:24" ht="15.75">
      <c r="A9" s="75">
        <v>5</v>
      </c>
      <c r="B9" s="76" t="s">
        <v>10</v>
      </c>
      <c r="C9" s="26">
        <f>5657.87+6678.54+4465.59</f>
        <v>16802</v>
      </c>
      <c r="D9" s="26">
        <f>5277.92+7485.32+4516.96</f>
        <v>17280.2</v>
      </c>
      <c r="E9" s="26">
        <f>4524.12+3428.55+2275.38</f>
        <v>10228.05</v>
      </c>
      <c r="F9" s="26">
        <f>1066.57+330.41+298.89</f>
        <v>1695.87</v>
      </c>
      <c r="G9" s="26">
        <f>1481.15+1046.44+517.82</f>
        <v>3045.4100000000003</v>
      </c>
      <c r="H9" s="27"/>
      <c r="I9" s="26"/>
      <c r="J9" s="26"/>
      <c r="K9" s="26"/>
      <c r="L9" s="26"/>
      <c r="M9" s="26"/>
      <c r="N9" s="26"/>
      <c r="O9" s="26"/>
      <c r="P9" s="26"/>
      <c r="Q9" s="77">
        <f t="shared" si="1"/>
        <v>0</v>
      </c>
      <c r="R9" s="78">
        <f t="shared" si="0"/>
        <v>49051.530000000006</v>
      </c>
      <c r="S9" s="79">
        <f t="shared" si="2"/>
        <v>49051.530000000006</v>
      </c>
      <c r="T9" s="95">
        <f>R9+PENS!E11+DIABET!C10+INS!C11+MIXT!E10+TESTE!C11+TESTE!D11+'COST VOLUM ONCO'!C10+ONCO!C10+POSTT!C10+SCLEROZ!C10+'CV UNICE'!C10+MUCOV!C10+MUCOV!D10</f>
        <v>68653.50000000001</v>
      </c>
      <c r="U9" s="82">
        <f>R9+PENS!C11</f>
        <v>54128.36000000001</v>
      </c>
      <c r="V9" s="84"/>
      <c r="X9" s="82"/>
    </row>
    <row r="10" spans="1:24" ht="15.75">
      <c r="A10" s="75">
        <v>6</v>
      </c>
      <c r="B10" s="76" t="s">
        <v>11</v>
      </c>
      <c r="C10" s="26">
        <v>21149.77</v>
      </c>
      <c r="D10" s="26">
        <v>23092.9</v>
      </c>
      <c r="E10" s="26">
        <v>27826.69</v>
      </c>
      <c r="F10" s="27">
        <v>964.36</v>
      </c>
      <c r="G10" s="26">
        <v>2719.6</v>
      </c>
      <c r="H10" s="27"/>
      <c r="J10" s="26"/>
      <c r="K10" s="26"/>
      <c r="L10" s="26"/>
      <c r="M10" s="26"/>
      <c r="N10" s="26"/>
      <c r="O10" s="26"/>
      <c r="P10" s="26"/>
      <c r="Q10" s="77">
        <f t="shared" si="1"/>
        <v>0</v>
      </c>
      <c r="R10" s="78">
        <f t="shared" si="0"/>
        <v>75753.32</v>
      </c>
      <c r="S10" s="79">
        <f t="shared" si="2"/>
        <v>75753.32</v>
      </c>
      <c r="T10" s="95">
        <f>R10+PENS!E12+DIABET!C11+INS!C12+MIXT!E11+TESTE!C12+TESTE!D12+'COST VOLUM ONCO'!C11+ONCO!C11+POSTT!C11+SCLEROZ!C11+'CV UNICE'!C11+MUCOV!C11+MUCOV!D11</f>
        <v>112684.29</v>
      </c>
      <c r="U10" s="82">
        <f>R10+PENS!C12</f>
        <v>77464.27</v>
      </c>
      <c r="V10" s="84"/>
      <c r="X10" s="82"/>
    </row>
    <row r="11" spans="1:24" ht="15.75">
      <c r="A11" s="75">
        <v>7</v>
      </c>
      <c r="B11" s="76" t="s">
        <v>12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7"/>
      <c r="I11" s="26"/>
      <c r="J11" s="26"/>
      <c r="K11" s="26"/>
      <c r="L11" s="26"/>
      <c r="M11" s="26"/>
      <c r="N11" s="26"/>
      <c r="O11" s="26"/>
      <c r="P11" s="26"/>
      <c r="Q11" s="77">
        <f t="shared" si="1"/>
        <v>0</v>
      </c>
      <c r="R11" s="78">
        <f t="shared" si="0"/>
        <v>0</v>
      </c>
      <c r="S11" s="79">
        <f t="shared" si="2"/>
        <v>0</v>
      </c>
      <c r="T11" s="84">
        <f>R11+PENS!E13+DIABET!C12+INS!C13+MIXT!E12+TESTE!C13+TESTE!D13+'COST VOLUM ONCO'!C12+ONCO!C12+POSTT!C12+SCLEROZ!C12+'CV UNICE'!C12+MUCOV!C12+MUCOV!D12</f>
        <v>0</v>
      </c>
      <c r="U11" s="82">
        <f>R11+PENS!C13</f>
        <v>0</v>
      </c>
      <c r="V11" s="88"/>
      <c r="X11" s="82"/>
    </row>
    <row r="12" spans="1:24" ht="15.75">
      <c r="A12" s="75">
        <v>8</v>
      </c>
      <c r="B12" s="76" t="s">
        <v>13</v>
      </c>
      <c r="C12" s="26">
        <f>15644.06+12073.14+4927.26+7547.82+14420.05</f>
        <v>54612.33</v>
      </c>
      <c r="D12" s="26">
        <f>15830.75+14581.69+4810.24+6097.88+18090.43</f>
        <v>59410.99</v>
      </c>
      <c r="E12" s="26">
        <f>19219.12+10952.32+6592.72+6563.67+70794.83</f>
        <v>114122.66</v>
      </c>
      <c r="F12" s="26">
        <f>1056.13+2326.99+307.77+2172.17+1568.82</f>
        <v>7431.879999999999</v>
      </c>
      <c r="G12" s="26">
        <f>1873.54+1768.55+714.08+598.22+1912.42</f>
        <v>6866.81</v>
      </c>
      <c r="H12" s="27">
        <f>1026.54+290.06</f>
        <v>1316.6</v>
      </c>
      <c r="I12" s="26"/>
      <c r="J12" s="26"/>
      <c r="K12" s="26"/>
      <c r="L12" s="26">
        <f>3260.32+11336.81</f>
        <v>14597.13</v>
      </c>
      <c r="M12" s="26">
        <v>2678.98</v>
      </c>
      <c r="N12" s="26">
        <f>2678.98+2678.98</f>
        <v>5357.96</v>
      </c>
      <c r="O12" s="26"/>
      <c r="P12" s="26"/>
      <c r="Q12" s="77">
        <f t="shared" si="1"/>
        <v>23950.67</v>
      </c>
      <c r="R12" s="78">
        <f t="shared" si="0"/>
        <v>266395.34</v>
      </c>
      <c r="S12" s="79">
        <f t="shared" si="2"/>
        <v>242444.67000000004</v>
      </c>
      <c r="T12" s="95">
        <f>R12+PENS!E14+DIABET!C13+INS!C14+MIXT!E13+TESTE!C14+TESTE!D14+'COST VOLUM ONCO'!C13+ONCO!C13+POSTT!C13+SCLEROZ!C13+'CV UNICE'!C13+MUCOV!C13+MUCOV!D13</f>
        <v>363751.94000000006</v>
      </c>
      <c r="U12" s="82">
        <f>R12+PENS!C14</f>
        <v>273091.94</v>
      </c>
      <c r="V12" s="84"/>
      <c r="X12" s="82"/>
    </row>
    <row r="13" spans="1:24" ht="15.75">
      <c r="A13" s="75">
        <v>9</v>
      </c>
      <c r="B13" s="76" t="s">
        <v>112</v>
      </c>
      <c r="C13" s="26">
        <f>17079.7+19177.45+7387.24+8289.07+7538.09+2604.27+3806.57</f>
        <v>65882.39</v>
      </c>
      <c r="D13" s="26">
        <f>24817.7+18640.77+8666.5+8562.91+7782.81+2157.54+3625.65</f>
        <v>74253.87999999999</v>
      </c>
      <c r="E13" s="26">
        <f>14015.02+10908.32+2337.91+5612.7+7523.06+1615.44+2215.91</f>
        <v>44228.36</v>
      </c>
      <c r="F13" s="26">
        <f>1278.91+1328.65+1036.42+685.39+515.65+65.26+1070.91</f>
        <v>5981.1900000000005</v>
      </c>
      <c r="G13" s="26">
        <f>3722.32+1193.68+1267.22+1004.57+833.6+476.85+394.12</f>
        <v>8892.36</v>
      </c>
      <c r="H13" s="27">
        <v>580.12</v>
      </c>
      <c r="I13" s="26"/>
      <c r="J13" s="26"/>
      <c r="K13" s="26">
        <v>2678.98</v>
      </c>
      <c r="L13" s="26"/>
      <c r="M13" s="26"/>
      <c r="N13" s="26">
        <v>2678.98</v>
      </c>
      <c r="O13" s="26"/>
      <c r="P13" s="26"/>
      <c r="Q13" s="77">
        <f t="shared" si="1"/>
        <v>5938.08</v>
      </c>
      <c r="R13" s="78">
        <f t="shared" si="0"/>
        <v>205176.26</v>
      </c>
      <c r="S13" s="79">
        <f t="shared" si="2"/>
        <v>199238.18000000002</v>
      </c>
      <c r="T13" s="95">
        <f>R13+PENS!E15+DIABET!C14+INS!C15+MIXT!E14+TESTE!C15+TESTE!D15+'COST VOLUM ONCO'!C14+ONCO!C14+POSTT!C14+SCLEROZ!C14+'CV UNICE'!C14+MUCOV!C14+MUCOV!D14</f>
        <v>297425.62</v>
      </c>
      <c r="U13" s="82">
        <f>R13+PENS!C15</f>
        <v>214485.79</v>
      </c>
      <c r="V13" s="84"/>
      <c r="X13" s="82"/>
    </row>
    <row r="14" spans="1:24" ht="15.75">
      <c r="A14" s="75">
        <v>10</v>
      </c>
      <c r="B14" s="76" t="s">
        <v>14</v>
      </c>
      <c r="C14" s="26">
        <v>18557.71</v>
      </c>
      <c r="D14" s="26">
        <v>48464.69</v>
      </c>
      <c r="E14" s="26">
        <v>49956.83</v>
      </c>
      <c r="F14" s="26">
        <v>1032.91</v>
      </c>
      <c r="G14" s="26">
        <v>1137.69</v>
      </c>
      <c r="H14" s="27">
        <v>3503.38</v>
      </c>
      <c r="I14" s="26"/>
      <c r="J14" s="26">
        <v>7334.4</v>
      </c>
      <c r="K14" s="26"/>
      <c r="L14" s="26">
        <v>14129.65</v>
      </c>
      <c r="M14" s="26">
        <v>5939.3</v>
      </c>
      <c r="N14" s="26"/>
      <c r="O14" s="26"/>
      <c r="P14" s="26"/>
      <c r="Q14" s="77">
        <f t="shared" si="1"/>
        <v>30906.73</v>
      </c>
      <c r="R14" s="78">
        <f t="shared" si="0"/>
        <v>150056.56</v>
      </c>
      <c r="S14" s="79">
        <f t="shared" si="2"/>
        <v>119149.83</v>
      </c>
      <c r="T14" s="95">
        <f>R14+PENS!E16+DIABET!C15+INS!C16+MIXT!E15+TESTE!C16+TESTE!D16+'COST VOLUM ONCO'!C15+ONCO!C15+POSTT!C15+SCLEROZ!C15+'CV UNICE'!C15+MUCOV!C15+MUCOV!D15</f>
        <v>561616.63</v>
      </c>
      <c r="U14" s="82">
        <f>R14+PENS!C16</f>
        <v>150726.22</v>
      </c>
      <c r="V14" s="84"/>
      <c r="X14" s="82"/>
    </row>
    <row r="15" spans="1:24" ht="15.75">
      <c r="A15" s="75">
        <v>11</v>
      </c>
      <c r="B15" s="76" t="s">
        <v>15</v>
      </c>
      <c r="C15" s="26">
        <f>10843.15+1665.12+8520.45</f>
        <v>21028.72</v>
      </c>
      <c r="D15" s="28">
        <f>11816.66+2080.45+12886.28</f>
        <v>26783.39</v>
      </c>
      <c r="E15" s="26">
        <f>18943.03+755.9+7164.84</f>
        <v>26863.77</v>
      </c>
      <c r="F15" s="26">
        <f>870.38+185.76+1482.06</f>
        <v>2538.2</v>
      </c>
      <c r="G15" s="26">
        <f>2103.94+206.57+1611.82</f>
        <v>3922.33</v>
      </c>
      <c r="H15" s="27">
        <v>290</v>
      </c>
      <c r="I15" s="26"/>
      <c r="J15" s="26"/>
      <c r="K15" s="26"/>
      <c r="L15" s="26"/>
      <c r="M15" s="26"/>
      <c r="N15" s="26"/>
      <c r="O15" s="26"/>
      <c r="P15" s="26"/>
      <c r="Q15" s="77">
        <f t="shared" si="1"/>
        <v>290</v>
      </c>
      <c r="R15" s="78">
        <f t="shared" si="0"/>
        <v>81426.41</v>
      </c>
      <c r="S15" s="79">
        <f t="shared" si="2"/>
        <v>81136.41</v>
      </c>
      <c r="T15" s="95">
        <f>R15+PENS!E17+DIABET!C16+INS!C17+MIXT!E16+TESTE!C17+TESTE!D17+'COST VOLUM ONCO'!C16+ONCO!C16+POSTT!C16+SCLEROZ!C16+'CV UNICE'!C16+MUCOV!C16+MUCOV!D16</f>
        <v>176929.22</v>
      </c>
      <c r="U15" s="82">
        <f>R15+PENS!C17</f>
        <v>84358.94</v>
      </c>
      <c r="V15" s="84"/>
      <c r="X15" s="82"/>
    </row>
    <row r="16" spans="1:24" ht="15.75">
      <c r="A16" s="75">
        <v>12</v>
      </c>
      <c r="B16" s="76" t="s">
        <v>16</v>
      </c>
      <c r="C16" s="26">
        <f>17411.73+16049.58+25874.05</f>
        <v>59335.36</v>
      </c>
      <c r="D16" s="26">
        <f>21065.95+20103.62+33813.78</f>
        <v>74983.35</v>
      </c>
      <c r="E16" s="26">
        <f>7437.94+8046.83+19390.94</f>
        <v>34875.71</v>
      </c>
      <c r="F16" s="26">
        <f>1937.48+1711.28+1975.5</f>
        <v>5624.26</v>
      </c>
      <c r="G16" s="26">
        <f>2794.72+2086.67+3643.61</f>
        <v>8525</v>
      </c>
      <c r="H16" s="27">
        <v>290.06</v>
      </c>
      <c r="I16" s="26"/>
      <c r="J16" s="26"/>
      <c r="K16" s="26">
        <v>2678.98</v>
      </c>
      <c r="L16" s="26">
        <f>5357.96+13918.08</f>
        <v>19276.04</v>
      </c>
      <c r="M16" s="26">
        <v>2678.98</v>
      </c>
      <c r="N16" s="26">
        <f>8657.83+17875.24</f>
        <v>26533.07</v>
      </c>
      <c r="O16" s="26">
        <v>1815.63</v>
      </c>
      <c r="P16" s="26"/>
      <c r="Q16" s="77">
        <f t="shared" si="1"/>
        <v>53272.76</v>
      </c>
      <c r="R16" s="78">
        <f t="shared" si="0"/>
        <v>236616.44000000006</v>
      </c>
      <c r="S16" s="79">
        <f t="shared" si="2"/>
        <v>183343.68000000005</v>
      </c>
      <c r="T16" s="95">
        <f>R16+PENS!E18+DIABET!C17+INS!C18+MIXT!E17+TESTE!C18+TESTE!D18+'COST VOLUM ONCO'!C17+ONCO!C17+POSTT!C17+SCLEROZ!C17+'CV UNICE'!C17+MUCOV!C17+MUCOV!D17</f>
        <v>382344.44000000006</v>
      </c>
      <c r="U16" s="82">
        <f>R16+PENS!C18</f>
        <v>246483.14000000007</v>
      </c>
      <c r="V16" s="84"/>
      <c r="X16" s="82"/>
    </row>
    <row r="17" spans="1:24" ht="15.75">
      <c r="A17" s="75">
        <v>13</v>
      </c>
      <c r="B17" s="76" t="s">
        <v>17</v>
      </c>
      <c r="C17" s="26">
        <v>27539.09</v>
      </c>
      <c r="D17" s="26">
        <v>33255.47</v>
      </c>
      <c r="E17" s="26">
        <v>21583.56</v>
      </c>
      <c r="F17" s="26">
        <v>2711.86</v>
      </c>
      <c r="G17" s="26">
        <v>4058.74</v>
      </c>
      <c r="H17" s="27"/>
      <c r="I17" s="26"/>
      <c r="J17" s="26"/>
      <c r="K17" s="26"/>
      <c r="L17" s="26"/>
      <c r="M17" s="26"/>
      <c r="N17" s="26"/>
      <c r="O17" s="26"/>
      <c r="P17" s="26"/>
      <c r="Q17" s="77">
        <f aca="true" t="shared" si="3" ref="Q17:Q42">H17+I17+J17+K17+L17+M17+N17+O17+P17</f>
        <v>0</v>
      </c>
      <c r="R17" s="78">
        <f t="shared" si="0"/>
        <v>89148.72</v>
      </c>
      <c r="S17" s="79">
        <f t="shared" si="2"/>
        <v>89148.72</v>
      </c>
      <c r="T17" s="95">
        <f>R17+PENS!E19+DIABET!C18+INS!C19+MIXT!E18+TESTE!C19+TESTE!D19+'COST VOLUM ONCO'!C18+ONCO!C18+POSTT!C18+SCLEROZ!C18+'CV UNICE'!C18+MUCOV!C18+MUCOV!D18</f>
        <v>157176.12</v>
      </c>
      <c r="U17" s="82">
        <f>R17+PENS!C19</f>
        <v>93703.41</v>
      </c>
      <c r="V17" s="84"/>
      <c r="X17" s="82"/>
    </row>
    <row r="18" spans="1:25" ht="15.75">
      <c r="A18" s="75">
        <v>14</v>
      </c>
      <c r="B18" s="76" t="s">
        <v>18</v>
      </c>
      <c r="C18" s="26">
        <v>18611.75</v>
      </c>
      <c r="D18" s="26">
        <v>12905.44</v>
      </c>
      <c r="E18" s="26">
        <v>8823.08</v>
      </c>
      <c r="F18" s="26">
        <v>3007.97</v>
      </c>
      <c r="G18" s="26">
        <v>1533.1</v>
      </c>
      <c r="H18" s="27"/>
      <c r="I18" s="26"/>
      <c r="J18" s="26"/>
      <c r="K18" s="26"/>
      <c r="L18" s="26"/>
      <c r="M18" s="26"/>
      <c r="N18" s="26"/>
      <c r="O18" s="26"/>
      <c r="P18" s="26"/>
      <c r="Q18" s="77">
        <f t="shared" si="3"/>
        <v>0</v>
      </c>
      <c r="R18" s="78">
        <f t="shared" si="0"/>
        <v>44881.340000000004</v>
      </c>
      <c r="S18" s="79">
        <f t="shared" si="2"/>
        <v>44881.340000000004</v>
      </c>
      <c r="T18" s="95">
        <f>R18+PENS!E20+DIABET!C19+INS!C20+MIXT!E19+TESTE!C20+TESTE!D20+'COST VOLUM ONCO'!C19+ONCO!C19+POSTT!C19+SCLEROZ!C19+'CV UNICE'!C19+MUCOV!C19+MUCOV!D19</f>
        <v>60649.33</v>
      </c>
      <c r="U18" s="82">
        <f>R18+PENS!C20</f>
        <v>45419.64000000001</v>
      </c>
      <c r="V18" s="84"/>
      <c r="W18" s="12"/>
      <c r="X18" s="82"/>
      <c r="Y18" s="12"/>
    </row>
    <row r="19" spans="1:24" ht="15.75">
      <c r="A19" s="75">
        <v>15</v>
      </c>
      <c r="B19" s="76" t="s">
        <v>19</v>
      </c>
      <c r="C19" s="26">
        <f>36473.27+13220.22</f>
        <v>49693.49</v>
      </c>
      <c r="D19" s="26">
        <f>26432.4+9665.33</f>
        <v>36097.73</v>
      </c>
      <c r="E19" s="26">
        <f>13194.24+8774.47</f>
        <v>21968.71</v>
      </c>
      <c r="F19" s="26">
        <f>10550.74+1398.68</f>
        <v>11949.42</v>
      </c>
      <c r="G19" s="26">
        <f>3310.7+678</f>
        <v>3988.7</v>
      </c>
      <c r="H19" s="27"/>
      <c r="I19" s="26"/>
      <c r="J19" s="26"/>
      <c r="K19" s="26"/>
      <c r="L19" s="26"/>
      <c r="M19" s="26"/>
      <c r="N19" s="26"/>
      <c r="O19" s="26"/>
      <c r="P19" s="26"/>
      <c r="Q19" s="77">
        <f t="shared" si="3"/>
        <v>0</v>
      </c>
      <c r="R19" s="78">
        <f t="shared" si="0"/>
        <v>123698.04999999999</v>
      </c>
      <c r="S19" s="79">
        <f t="shared" si="2"/>
        <v>123698.04999999999</v>
      </c>
      <c r="T19" s="95">
        <f>R19+PENS!E21+DIABET!C20+INS!C21+MIXT!E20+TESTE!C21+TESTE!D21+'COST VOLUM ONCO'!C20+ONCO!C20+POSTT!C20+SCLEROZ!C20+'CV UNICE'!C20+MUCOV!C20+MUCOV!D20</f>
        <v>199077.52000000002</v>
      </c>
      <c r="U19" s="82">
        <f>R19+PENS!C21</f>
        <v>127251.47999999998</v>
      </c>
      <c r="V19" s="84"/>
      <c r="X19" s="82"/>
    </row>
    <row r="20" spans="1:24" ht="15.75">
      <c r="A20" s="75">
        <v>16</v>
      </c>
      <c r="B20" s="76" t="s">
        <v>20</v>
      </c>
      <c r="C20" s="26">
        <f>12033.4+4731.06</f>
        <v>16764.46</v>
      </c>
      <c r="D20" s="26">
        <f>14301.85+3688.04</f>
        <v>17989.89</v>
      </c>
      <c r="E20" s="26">
        <f>5114.81+2090.38</f>
        <v>7205.1900000000005</v>
      </c>
      <c r="F20" s="26">
        <f>1845.81+639.22</f>
        <v>2485.0299999999997</v>
      </c>
      <c r="G20" s="26">
        <f>2093.83+508.15</f>
        <v>2601.98</v>
      </c>
      <c r="H20" s="29"/>
      <c r="I20" s="26"/>
      <c r="J20" s="26"/>
      <c r="K20" s="26"/>
      <c r="L20" s="26"/>
      <c r="M20" s="26"/>
      <c r="N20" s="26"/>
      <c r="O20" s="26"/>
      <c r="P20" s="26"/>
      <c r="Q20" s="77">
        <f t="shared" si="3"/>
        <v>0</v>
      </c>
      <c r="R20" s="78">
        <f t="shared" si="0"/>
        <v>47046.55</v>
      </c>
      <c r="S20" s="79">
        <f t="shared" si="2"/>
        <v>47046.55</v>
      </c>
      <c r="T20" s="95">
        <f>R20+PENS!E22+DIABET!C21+INS!C22+MIXT!E21+TESTE!C22+TESTE!D22+'COST VOLUM ONCO'!C21+ONCO!C21+POSTT!C21+SCLEROZ!C21+'CV UNICE'!C21+MUCOV!C21+MUCOV!D21</f>
        <v>56715.5</v>
      </c>
      <c r="U20" s="82">
        <f>R20+PENS!C22</f>
        <v>51168.76</v>
      </c>
      <c r="V20" s="84"/>
      <c r="X20" s="82"/>
    </row>
    <row r="21" spans="1:24" ht="15.75">
      <c r="A21" s="75">
        <v>17</v>
      </c>
      <c r="B21" s="76" t="s">
        <v>21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7"/>
      <c r="I21" s="26"/>
      <c r="J21" s="26"/>
      <c r="K21" s="26"/>
      <c r="L21" s="26"/>
      <c r="M21" s="26"/>
      <c r="N21" s="26"/>
      <c r="O21" s="26"/>
      <c r="P21" s="26"/>
      <c r="Q21" s="77">
        <f t="shared" si="3"/>
        <v>0</v>
      </c>
      <c r="R21" s="78">
        <f t="shared" si="0"/>
        <v>0</v>
      </c>
      <c r="S21" s="79">
        <f t="shared" si="2"/>
        <v>0</v>
      </c>
      <c r="T21" s="84">
        <f>R21+PENS!E23+DIABET!C22+INS!C23+MIXT!E22+TESTE!C23+TESTE!D23+'COST VOLUM ONCO'!C22+ONCO!C22+POSTT!C22+SCLEROZ!C22+'CV UNICE'!C22+MUCOV!C22+MUCOV!D22</f>
        <v>0</v>
      </c>
      <c r="U21" s="82">
        <f>R21+PENS!C23</f>
        <v>0</v>
      </c>
      <c r="V21" s="88"/>
      <c r="X21" s="82"/>
    </row>
    <row r="22" spans="1:24" ht="15.75">
      <c r="A22" s="75">
        <v>18</v>
      </c>
      <c r="B22" s="76" t="s">
        <v>22</v>
      </c>
      <c r="C22" s="26">
        <v>1471.26</v>
      </c>
      <c r="D22" s="26">
        <v>1746.57</v>
      </c>
      <c r="E22" s="26">
        <v>1151.09</v>
      </c>
      <c r="F22" s="87">
        <v>7.29</v>
      </c>
      <c r="G22" s="86">
        <v>222.92</v>
      </c>
      <c r="H22" s="27"/>
      <c r="I22" s="26"/>
      <c r="J22" s="26"/>
      <c r="K22" s="26"/>
      <c r="L22" s="26"/>
      <c r="M22" s="26"/>
      <c r="N22" s="26"/>
      <c r="O22" s="26"/>
      <c r="P22" s="26"/>
      <c r="Q22" s="77">
        <f t="shared" si="3"/>
        <v>0</v>
      </c>
      <c r="R22" s="78">
        <f t="shared" si="0"/>
        <v>4599.13</v>
      </c>
      <c r="S22" s="79">
        <f t="shared" si="2"/>
        <v>4599.13</v>
      </c>
      <c r="T22" s="95">
        <f>R22+PENS!E24+DIABET!C23+INS!C24+MIXT!E23+TESTE!C24+TESTE!D24+'COST VOLUM ONCO'!C23+ONCO!C23+POSTT!C23+SCLEROZ!C23+'CV UNICE'!C23+MUCOV!C23+MUCOV!D23</f>
        <v>5480.74</v>
      </c>
      <c r="U22" s="82">
        <f>R22+PENS!C24</f>
        <v>4945.79</v>
      </c>
      <c r="V22" s="84"/>
      <c r="X22" s="82"/>
    </row>
    <row r="23" spans="1:24" ht="15.75">
      <c r="A23" s="75">
        <v>19</v>
      </c>
      <c r="B23" s="76" t="s">
        <v>23</v>
      </c>
      <c r="C23" s="26">
        <f>3787.91+4153.16+1620.08+1986.28+1160.81</f>
        <v>12708.24</v>
      </c>
      <c r="D23" s="26">
        <f>3726.34+4517.47+1115.72+2925.07+711.49</f>
        <v>12996.09</v>
      </c>
      <c r="E23" s="26">
        <f>204.42+337.23+1267.99+1795.47+103.03</f>
        <v>3708.14</v>
      </c>
      <c r="F23" s="26">
        <f>933.18+1174.06+257.29+703.01+100.63</f>
        <v>3168.17</v>
      </c>
      <c r="G23" s="26">
        <f>669.09+468.42+124.07+367.15+137.79</f>
        <v>1766.52</v>
      </c>
      <c r="H23" s="27"/>
      <c r="I23" s="26"/>
      <c r="J23" s="26"/>
      <c r="K23" s="26"/>
      <c r="L23" s="26"/>
      <c r="M23" s="26"/>
      <c r="N23" s="26"/>
      <c r="O23" s="26"/>
      <c r="P23" s="26"/>
      <c r="Q23" s="77">
        <f t="shared" si="3"/>
        <v>0</v>
      </c>
      <c r="R23" s="78">
        <f t="shared" si="0"/>
        <v>34347.159999999996</v>
      </c>
      <c r="S23" s="79">
        <f t="shared" si="2"/>
        <v>34347.159999999996</v>
      </c>
      <c r="T23" s="95">
        <f>R23+PENS!E25+DIABET!C24+INS!C25+MIXT!E24+TESTE!C25+TESTE!D25+'COST VOLUM ONCO'!C24+ONCO!C24+POSTT!C24+SCLEROZ!C24+'CV UNICE'!C24+MUCOV!C24+MUCOV!D24</f>
        <v>38818.78999999999</v>
      </c>
      <c r="U23" s="82">
        <f>R23+PENS!C25</f>
        <v>35695.60999999999</v>
      </c>
      <c r="V23" s="84"/>
      <c r="X23" s="82"/>
    </row>
    <row r="24" spans="1:24" ht="15.75">
      <c r="A24" s="75">
        <v>20</v>
      </c>
      <c r="B24" s="76" t="s">
        <v>24</v>
      </c>
      <c r="C24" s="26">
        <v>16549.31</v>
      </c>
      <c r="D24" s="26">
        <v>16782.97</v>
      </c>
      <c r="E24" s="26">
        <v>9253.25</v>
      </c>
      <c r="F24" s="26">
        <v>485.79</v>
      </c>
      <c r="G24" s="26">
        <v>3759.66</v>
      </c>
      <c r="H24" s="27">
        <v>1358.23</v>
      </c>
      <c r="I24" s="26"/>
      <c r="J24" s="26">
        <v>13810.57</v>
      </c>
      <c r="K24" s="26"/>
      <c r="L24" s="26"/>
      <c r="M24" s="26"/>
      <c r="N24" s="26">
        <v>3859.45</v>
      </c>
      <c r="O24" s="26"/>
      <c r="P24" s="26"/>
      <c r="Q24" s="77">
        <f t="shared" si="3"/>
        <v>19028.25</v>
      </c>
      <c r="R24" s="78">
        <f t="shared" si="0"/>
        <v>65859.23</v>
      </c>
      <c r="S24" s="79">
        <f t="shared" si="2"/>
        <v>46830.979999999996</v>
      </c>
      <c r="T24" s="95">
        <f>R24+PENS!E26+DIABET!C25+INS!C26+MIXT!E25+TESTE!C26+TESTE!D26+'COST VOLUM ONCO'!C25+ONCO!C25+POSTT!C25+SCLEROZ!C25+'CV UNICE'!C25+MUCOV!C25+MUCOV!D25</f>
        <v>105186.73999999999</v>
      </c>
      <c r="U24" s="82">
        <f>R24+PENS!C26</f>
        <v>67249.37</v>
      </c>
      <c r="V24" s="84"/>
      <c r="X24" s="82"/>
    </row>
    <row r="25" spans="1:24" ht="15.75">
      <c r="A25" s="75">
        <v>21</v>
      </c>
      <c r="B25" s="76" t="s">
        <v>25</v>
      </c>
      <c r="C25" s="26">
        <f>18749+9025.24+20010.1+2770.26+4827.83+3300.21</f>
        <v>58682.64</v>
      </c>
      <c r="D25" s="26">
        <f>20107.58+7956.85+17845.14+3554.61+2623.24+3975.65</f>
        <v>56063.07</v>
      </c>
      <c r="E25" s="26">
        <f>19539.73+4580.77+12743.77+368.93+720.53+1078.95</f>
        <v>39032.68</v>
      </c>
      <c r="F25" s="26">
        <f>1622.85+2144.23+626.69+272.99+5569.19+351.71</f>
        <v>10587.66</v>
      </c>
      <c r="G25" s="26">
        <f>3100.21+927.44+4134.5+342.11+202.69+148.73</f>
        <v>8855.68</v>
      </c>
      <c r="H25" s="27">
        <v>1450.3</v>
      </c>
      <c r="I25" s="26"/>
      <c r="J25" s="26"/>
      <c r="K25" s="26"/>
      <c r="L25" s="26">
        <v>3299.87</v>
      </c>
      <c r="M25" s="26"/>
      <c r="N25" s="26"/>
      <c r="O25" s="26"/>
      <c r="P25" s="26"/>
      <c r="Q25" s="77">
        <f t="shared" si="3"/>
        <v>4750.17</v>
      </c>
      <c r="R25" s="78">
        <f t="shared" si="0"/>
        <v>177971.89999999997</v>
      </c>
      <c r="S25" s="79">
        <f t="shared" si="2"/>
        <v>173221.72999999995</v>
      </c>
      <c r="T25" s="95">
        <f>R25+PENS!E27+DIABET!C26+INS!C27+MIXT!E26+TESTE!C27+TESTE!D27+'COST VOLUM ONCO'!C26+ONCO!C26+POSTT!C26+SCLEROZ!C26+'CV UNICE'!C26+MUCOV!C26+MUCOV!D26</f>
        <v>294270.41</v>
      </c>
      <c r="U25" s="82">
        <f>R25+PENS!C27</f>
        <v>184786.87999999998</v>
      </c>
      <c r="V25" s="84"/>
      <c r="X25" s="82"/>
    </row>
    <row r="26" spans="1:24" ht="15.75">
      <c r="A26" s="75">
        <v>22</v>
      </c>
      <c r="B26" s="76" t="s">
        <v>26</v>
      </c>
      <c r="C26" s="26">
        <v>6364.97</v>
      </c>
      <c r="D26" s="26">
        <v>4237.93</v>
      </c>
      <c r="E26" s="26">
        <v>3709.56</v>
      </c>
      <c r="F26" s="26">
        <v>671.5</v>
      </c>
      <c r="G26" s="26">
        <v>635.51</v>
      </c>
      <c r="H26" s="27"/>
      <c r="I26" s="26"/>
      <c r="J26" s="26"/>
      <c r="K26" s="26"/>
      <c r="L26" s="26"/>
      <c r="M26" s="26"/>
      <c r="N26" s="26"/>
      <c r="O26" s="26"/>
      <c r="P26" s="26"/>
      <c r="Q26" s="77">
        <f t="shared" si="3"/>
        <v>0</v>
      </c>
      <c r="R26" s="78">
        <f t="shared" si="0"/>
        <v>15619.470000000001</v>
      </c>
      <c r="S26" s="79">
        <f t="shared" si="2"/>
        <v>15619.470000000001</v>
      </c>
      <c r="T26" s="95">
        <f>R26+PENS!E28+DIABET!C27+INS!C28+MIXT!E27+TESTE!C28+TESTE!D28+'COST VOLUM ONCO'!C27+ONCO!C27+POSTT!C27+SCLEROZ!C27+'CV UNICE'!C27+MUCOV!C27+MUCOV!D27</f>
        <v>21062.29</v>
      </c>
      <c r="U26" s="82">
        <f>R26+PENS!C28</f>
        <v>16836.91</v>
      </c>
      <c r="V26" s="84"/>
      <c r="X26" s="82"/>
    </row>
    <row r="27" spans="1:24" ht="15.75">
      <c r="A27" s="75">
        <v>23</v>
      </c>
      <c r="B27" s="76" t="s">
        <v>27</v>
      </c>
      <c r="C27" s="26">
        <f>5759.52+2316.19</f>
        <v>8075.710000000001</v>
      </c>
      <c r="D27" s="26">
        <f>4020.97+3237.02</f>
        <v>7257.99</v>
      </c>
      <c r="E27" s="26">
        <f>4670.68+640.54</f>
        <v>5311.22</v>
      </c>
      <c r="F27" s="26">
        <f>1202.07+1254.57</f>
        <v>2456.64</v>
      </c>
      <c r="G27" s="26">
        <f>446.05+255.72</f>
        <v>701.77</v>
      </c>
      <c r="H27" s="27"/>
      <c r="I27" s="26"/>
      <c r="J27" s="26"/>
      <c r="K27" s="26"/>
      <c r="L27" s="26"/>
      <c r="M27" s="26"/>
      <c r="N27" s="26"/>
      <c r="O27" s="26"/>
      <c r="P27" s="26"/>
      <c r="Q27" s="77">
        <f t="shared" si="3"/>
        <v>0</v>
      </c>
      <c r="R27" s="78">
        <f t="shared" si="0"/>
        <v>23803.33</v>
      </c>
      <c r="S27" s="79">
        <f t="shared" si="2"/>
        <v>23803.33</v>
      </c>
      <c r="T27" s="95">
        <f>R27+PENS!E29+DIABET!C28+INS!C29+MIXT!E28+TESTE!C29+TESTE!D29+'COST VOLUM ONCO'!C28+ONCO!C28+POSTT!C28+SCLEROZ!C28+'CV UNICE'!C28+MUCOV!C28+MUCOV!D28</f>
        <v>32138.130000000005</v>
      </c>
      <c r="U27" s="82">
        <f>R27+PENS!C29</f>
        <v>25767.58</v>
      </c>
      <c r="V27" s="84"/>
      <c r="X27" s="82"/>
    </row>
    <row r="28" spans="1:24" ht="15.75">
      <c r="A28" s="75">
        <v>24</v>
      </c>
      <c r="B28" s="76" t="s">
        <v>28</v>
      </c>
      <c r="C28" s="26">
        <f>11620.14+9925.23+13282+6655.98</f>
        <v>41483.34999999999</v>
      </c>
      <c r="D28" s="26">
        <f>14951.57+17878.19+19940.17+8710.49</f>
        <v>61480.41999999999</v>
      </c>
      <c r="E28" s="26">
        <f>10968.75+11242.25+25717+1498.93</f>
        <v>49426.93</v>
      </c>
      <c r="F28" s="26">
        <f>1469.26+603.34+748.18+813.63</f>
        <v>3634.41</v>
      </c>
      <c r="G28" s="26">
        <f>1762.84+1435.33+1562.96+904.64</f>
        <v>5665.77</v>
      </c>
      <c r="H28" s="26">
        <f>1160.24+446.41</f>
        <v>1606.65</v>
      </c>
      <c r="I28" s="26"/>
      <c r="J28" s="26">
        <v>1833.6</v>
      </c>
      <c r="K28" s="26">
        <v>8036.92</v>
      </c>
      <c r="L28" s="26">
        <f>62447.6+2678.97</f>
        <v>65126.57</v>
      </c>
      <c r="M28" s="26">
        <v>2678.97</v>
      </c>
      <c r="N28" s="26">
        <v>13394.85</v>
      </c>
      <c r="O28" s="26"/>
      <c r="P28" s="26">
        <v>21431.76</v>
      </c>
      <c r="Q28" s="77">
        <f t="shared" si="3"/>
        <v>114109.32</v>
      </c>
      <c r="R28" s="78">
        <f t="shared" si="0"/>
        <v>275800.2</v>
      </c>
      <c r="S28" s="79">
        <f t="shared" si="2"/>
        <v>161690.88</v>
      </c>
      <c r="T28" s="95">
        <f>R28+PENS!E30+DIABET!C29+INS!C30+MIXT!E29+TESTE!C30+TESTE!D30+'COST VOLUM ONCO'!C29+ONCO!C29+POSTT!C29+SCLEROZ!C29+'CV UNICE'!C29+MUCOV!C29+MUCOV!D29</f>
        <v>516254.14</v>
      </c>
      <c r="U28" s="82">
        <f>R28+PENS!C30</f>
        <v>282145.59</v>
      </c>
      <c r="V28" s="84"/>
      <c r="X28" s="82"/>
    </row>
    <row r="29" spans="1:24" ht="15.75">
      <c r="A29" s="75">
        <v>25</v>
      </c>
      <c r="B29" s="76" t="s">
        <v>29</v>
      </c>
      <c r="C29" s="26">
        <v>2662.21</v>
      </c>
      <c r="D29" s="26">
        <v>3407.58</v>
      </c>
      <c r="E29" s="26">
        <v>3025.66</v>
      </c>
      <c r="F29" s="26">
        <v>161.66</v>
      </c>
      <c r="G29" s="26">
        <v>443.22</v>
      </c>
      <c r="H29" s="27"/>
      <c r="I29" s="26"/>
      <c r="J29" s="26"/>
      <c r="K29" s="26"/>
      <c r="L29" s="26"/>
      <c r="M29" s="26"/>
      <c r="N29" s="26">
        <v>3859.45</v>
      </c>
      <c r="O29" s="26"/>
      <c r="P29" s="26"/>
      <c r="Q29" s="77">
        <f t="shared" si="3"/>
        <v>3859.45</v>
      </c>
      <c r="R29" s="78">
        <f t="shared" si="0"/>
        <v>13559.779999999999</v>
      </c>
      <c r="S29" s="79">
        <f t="shared" si="2"/>
        <v>9700.329999999998</v>
      </c>
      <c r="T29" s="95">
        <f>R29+PENS!E31+DIABET!C30+INS!C31+MIXT!E30+TESTE!C31+TESTE!D31+'COST VOLUM ONCO'!C30+ONCO!C30+POSTT!C30+SCLEROZ!C30+'CV UNICE'!C30+MUCOV!C30+MUCOV!D30</f>
        <v>71352.47</v>
      </c>
      <c r="U29" s="82">
        <f>R29+PENS!C31</f>
        <v>13657.3</v>
      </c>
      <c r="V29" s="84"/>
      <c r="X29" s="82"/>
    </row>
    <row r="30" spans="1:24" ht="15.75">
      <c r="A30" s="75">
        <v>26</v>
      </c>
      <c r="B30" s="76" t="s">
        <v>30</v>
      </c>
      <c r="C30" s="26">
        <f>13654.13+6046.94</f>
        <v>19701.07</v>
      </c>
      <c r="D30" s="26">
        <f>14594.54+4786.67</f>
        <v>19381.21</v>
      </c>
      <c r="E30" s="26">
        <f>3094.23+2715.83</f>
        <v>5810.0599999999995</v>
      </c>
      <c r="F30" s="26">
        <f>1636.77+1982.3</f>
        <v>3619.0699999999997</v>
      </c>
      <c r="G30" s="26">
        <f>2057.69+1030.21</f>
        <v>3087.9</v>
      </c>
      <c r="H30" s="27"/>
      <c r="I30" s="26"/>
      <c r="J30" s="26"/>
      <c r="K30" s="26"/>
      <c r="L30" s="26">
        <v>3260.32</v>
      </c>
      <c r="M30" s="26"/>
      <c r="N30" s="26"/>
      <c r="O30" s="26"/>
      <c r="P30" s="26"/>
      <c r="Q30" s="77">
        <f t="shared" si="3"/>
        <v>3260.32</v>
      </c>
      <c r="R30" s="78">
        <f t="shared" si="0"/>
        <v>54859.63</v>
      </c>
      <c r="S30" s="79">
        <f t="shared" si="2"/>
        <v>51599.31</v>
      </c>
      <c r="T30" s="95">
        <f>R30+PENS!E32+DIABET!C31+INS!C32+MIXT!E31+TESTE!C32+TESTE!D32+'COST VOLUM ONCO'!C31+ONCO!C31+POSTT!C31+SCLEROZ!C31+'CV UNICE'!C31+MUCOV!C31+MUCOV!D31</f>
        <v>73579.20999999999</v>
      </c>
      <c r="U30" s="82">
        <f>R30+PENS!C32</f>
        <v>57232.53</v>
      </c>
      <c r="V30" s="84"/>
      <c r="X30" s="82"/>
    </row>
    <row r="31" spans="1:24" ht="15.75">
      <c r="A31" s="75">
        <v>27</v>
      </c>
      <c r="B31" s="76" t="s">
        <v>31</v>
      </c>
      <c r="C31" s="26">
        <f>5551.94+3506.93</f>
        <v>9058.869999999999</v>
      </c>
      <c r="D31" s="26">
        <f>4984.78+2841.38</f>
        <v>7826.16</v>
      </c>
      <c r="E31" s="26">
        <f>8166.25+2811.71</f>
        <v>10977.96</v>
      </c>
      <c r="F31" s="26">
        <f>911.82+195.41</f>
        <v>1107.23</v>
      </c>
      <c r="G31" s="26">
        <f>478.72+197.3</f>
        <v>676.02</v>
      </c>
      <c r="H31" s="27"/>
      <c r="I31" s="26"/>
      <c r="J31" s="26"/>
      <c r="K31" s="26"/>
      <c r="L31" s="26"/>
      <c r="M31" s="26"/>
      <c r="N31" s="26"/>
      <c r="O31" s="26"/>
      <c r="P31" s="26"/>
      <c r="Q31" s="77">
        <f t="shared" si="3"/>
        <v>0</v>
      </c>
      <c r="R31" s="78">
        <f t="shared" si="0"/>
        <v>29646.239999999998</v>
      </c>
      <c r="S31" s="79">
        <f t="shared" si="2"/>
        <v>29646.239999999998</v>
      </c>
      <c r="T31" s="95">
        <f>R31+PENS!E33+DIABET!C32+INS!C33+MIXT!E32+TESTE!C33+TESTE!D33+'COST VOLUM ONCO'!C32+ONCO!C32+POSTT!C32+SCLEROZ!C32+'CV UNICE'!C32+MUCOV!C32+MUCOV!D32</f>
        <v>37848.89</v>
      </c>
      <c r="U31" s="82">
        <f>R31+PENS!C33</f>
        <v>32049.289999999997</v>
      </c>
      <c r="V31" s="84"/>
      <c r="X31" s="82"/>
    </row>
    <row r="32" spans="1:24" ht="15.75">
      <c r="A32" s="75">
        <v>28</v>
      </c>
      <c r="B32" s="76" t="s">
        <v>32</v>
      </c>
      <c r="C32" s="26">
        <f>18472.67+12255.8+14826.65</f>
        <v>45555.119999999995</v>
      </c>
      <c r="D32" s="26">
        <f>26933.92+19685.09+14770.64</f>
        <v>61389.649999999994</v>
      </c>
      <c r="E32" s="26">
        <f>9037.74+6993.22+5023.31</f>
        <v>21054.27</v>
      </c>
      <c r="F32" s="26">
        <f>1602.76+946.98+670.89</f>
        <v>3220.6299999999997</v>
      </c>
      <c r="G32" s="26">
        <f>2385.25+2503.6+2236.57</f>
        <v>7125.42</v>
      </c>
      <c r="H32" s="27"/>
      <c r="I32" s="26"/>
      <c r="J32" s="26"/>
      <c r="K32" s="26"/>
      <c r="L32" s="26"/>
      <c r="M32" s="26">
        <v>2678.98</v>
      </c>
      <c r="N32" s="26"/>
      <c r="O32" s="26"/>
      <c r="P32" s="26"/>
      <c r="Q32" s="77">
        <f t="shared" si="3"/>
        <v>2678.98</v>
      </c>
      <c r="R32" s="78">
        <f t="shared" si="0"/>
        <v>141024.07</v>
      </c>
      <c r="S32" s="79">
        <f t="shared" si="2"/>
        <v>138345.09</v>
      </c>
      <c r="T32" s="95">
        <f>R32+PENS!E34+DIABET!C33+INS!C34+MIXT!E33+TESTE!C34+TESTE!D34+'COST VOLUM ONCO'!C33+ONCO!C33+POSTT!C33+SCLEROZ!C33+'CV UNICE'!C33+MUCOV!C33+MUCOV!D33</f>
        <v>236305.96000000005</v>
      </c>
      <c r="U32" s="82">
        <f>R32+PENS!C34</f>
        <v>147331.84</v>
      </c>
      <c r="V32" s="84"/>
      <c r="X32" s="82"/>
    </row>
    <row r="33" spans="1:24" ht="15.75">
      <c r="A33" s="75">
        <v>29</v>
      </c>
      <c r="B33" s="76" t="s">
        <v>33</v>
      </c>
      <c r="C33" s="26">
        <f>31024.31+4115.9</f>
        <v>35140.21</v>
      </c>
      <c r="D33" s="26">
        <f>31948.59+3685.02</f>
        <v>35633.61</v>
      </c>
      <c r="E33" s="26">
        <f>13686.81+764.41</f>
        <v>14451.22</v>
      </c>
      <c r="F33" s="26">
        <f>4129.43+896.35</f>
        <v>5025.780000000001</v>
      </c>
      <c r="G33" s="26">
        <f>4395.45+652.95</f>
        <v>5048.4</v>
      </c>
      <c r="H33" s="27">
        <v>3846.34</v>
      </c>
      <c r="I33" s="26"/>
      <c r="J33" s="26"/>
      <c r="K33" s="26"/>
      <c r="L33" s="26"/>
      <c r="M33" s="26"/>
      <c r="N33" s="26">
        <v>5357.96</v>
      </c>
      <c r="O33" s="26"/>
      <c r="P33" s="26"/>
      <c r="Q33" s="77">
        <f t="shared" si="3"/>
        <v>9204.3</v>
      </c>
      <c r="R33" s="78">
        <f t="shared" si="0"/>
        <v>104503.52</v>
      </c>
      <c r="S33" s="79">
        <f t="shared" si="2"/>
        <v>95299.22</v>
      </c>
      <c r="T33" s="95">
        <f>R33+PENS!E35+DIABET!C34+INS!C35+MIXT!E34+TESTE!C35+TESTE!D35+'COST VOLUM ONCO'!C34+ONCO!C34+POSTT!C34+SCLEROZ!C34+'CV UNICE'!C34+MUCOV!C34+MUCOV!D34</f>
        <v>134441.12</v>
      </c>
      <c r="U33" s="82">
        <f>R33+PENS!C35</f>
        <v>113279.51000000001</v>
      </c>
      <c r="V33" s="84"/>
      <c r="X33" s="82"/>
    </row>
    <row r="34" spans="1:24" ht="15.75">
      <c r="A34" s="75">
        <v>30</v>
      </c>
      <c r="B34" s="76" t="s">
        <v>34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7"/>
      <c r="I34" s="26"/>
      <c r="J34" s="26"/>
      <c r="K34" s="26"/>
      <c r="L34" s="26"/>
      <c r="M34" s="26"/>
      <c r="N34" s="26"/>
      <c r="O34" s="26"/>
      <c r="P34" s="26"/>
      <c r="Q34" s="77">
        <f t="shared" si="3"/>
        <v>0</v>
      </c>
      <c r="R34" s="78">
        <f t="shared" si="0"/>
        <v>0</v>
      </c>
      <c r="S34" s="79">
        <f t="shared" si="2"/>
        <v>0</v>
      </c>
      <c r="T34" s="84">
        <f>R34+PENS!E36+DIABET!C35+INS!C36+MIXT!E35+TESTE!C36+TESTE!D36+'COST VOLUM ONCO'!C35+ONCO!C35+POSTT!C35+SCLEROZ!C35+'CV UNICE'!C35+MUCOV!C35+MUCOV!D35</f>
        <v>0</v>
      </c>
      <c r="U34" s="82">
        <f>R34+PENS!C36</f>
        <v>0</v>
      </c>
      <c r="V34" s="88"/>
      <c r="X34" s="82"/>
    </row>
    <row r="35" spans="1:24" ht="15.75">
      <c r="A35" s="75">
        <v>31</v>
      </c>
      <c r="B35" s="76" t="s">
        <v>87</v>
      </c>
      <c r="C35" s="26">
        <v>3771.1</v>
      </c>
      <c r="D35" s="26">
        <v>3920.39</v>
      </c>
      <c r="E35" s="26">
        <v>1801.23</v>
      </c>
      <c r="F35" s="26">
        <v>528.65</v>
      </c>
      <c r="G35" s="26">
        <v>376.27</v>
      </c>
      <c r="H35" s="27"/>
      <c r="I35" s="26"/>
      <c r="J35" s="26"/>
      <c r="K35" s="26"/>
      <c r="L35" s="26"/>
      <c r="M35" s="26"/>
      <c r="N35" s="26"/>
      <c r="O35" s="26"/>
      <c r="P35" s="26"/>
      <c r="Q35" s="77">
        <f t="shared" si="3"/>
        <v>0</v>
      </c>
      <c r="R35" s="78">
        <f t="shared" si="0"/>
        <v>10397.64</v>
      </c>
      <c r="S35" s="79">
        <f t="shared" si="2"/>
        <v>10397.64</v>
      </c>
      <c r="T35" s="95">
        <f>R35+PENS!E37+DIABET!C36+INS!C37+MIXT!E36+TESTE!C37+TESTE!D37+'COST VOLUM ONCO'!C36+ONCO!C36+POSTT!C36+SCLEROZ!C36+'CV UNICE'!C36+MUCOV!C36+MUCOV!D36</f>
        <v>13883.91</v>
      </c>
      <c r="U35" s="82">
        <f>R35+PENS!C37</f>
        <v>11082.01</v>
      </c>
      <c r="V35" s="84"/>
      <c r="X35" s="82"/>
    </row>
    <row r="36" spans="1:24" ht="15.75">
      <c r="A36" s="75">
        <v>32</v>
      </c>
      <c r="B36" s="76" t="s">
        <v>89</v>
      </c>
      <c r="C36" s="26">
        <f>10758.98+1764.37+1891.47+2373.03</f>
        <v>16787.85</v>
      </c>
      <c r="D36" s="26">
        <f>10213.79+1714.26+1509.02+3135.52</f>
        <v>16572.59</v>
      </c>
      <c r="E36" s="26">
        <f>10190.79+363.99+2594.33+1551.28</f>
        <v>14700.390000000001</v>
      </c>
      <c r="F36" s="26">
        <f>1790.53+31.52+149.29+385.16</f>
        <v>2356.5</v>
      </c>
      <c r="G36" s="26">
        <f>1255.63+306.05+260.85+267.68</f>
        <v>2090.21</v>
      </c>
      <c r="H36" s="27"/>
      <c r="I36" s="26"/>
      <c r="J36" s="26">
        <v>1833.6</v>
      </c>
      <c r="K36" s="26"/>
      <c r="L36" s="26"/>
      <c r="M36" s="26">
        <v>6599.74</v>
      </c>
      <c r="N36" s="26"/>
      <c r="O36" s="26"/>
      <c r="P36" s="26"/>
      <c r="Q36" s="77">
        <f t="shared" si="3"/>
        <v>8433.34</v>
      </c>
      <c r="R36" s="78">
        <f t="shared" si="0"/>
        <v>60940.88</v>
      </c>
      <c r="S36" s="79">
        <f t="shared" si="2"/>
        <v>52507.53999999999</v>
      </c>
      <c r="T36" s="95">
        <f>R36+PENS!E38+DIABET!C37+INS!C38+MIXT!E37+TESTE!C38+TESTE!D38+'COST VOLUM ONCO'!C37+ONCO!C37+POSTT!C37+SCLEROZ!C37+'CV UNICE'!C37+MUCOV!C37+MUCOV!D37</f>
        <v>99597.63999999998</v>
      </c>
      <c r="U36" s="82">
        <f>R36+PENS!C38</f>
        <v>62941.07</v>
      </c>
      <c r="V36" s="84"/>
      <c r="X36" s="82"/>
    </row>
    <row r="37" spans="1:24" ht="15.75">
      <c r="A37" s="75">
        <v>33</v>
      </c>
      <c r="B37" s="76" t="s">
        <v>90</v>
      </c>
      <c r="C37" s="26">
        <f>18931.5</f>
        <v>18931.5</v>
      </c>
      <c r="D37" s="26">
        <v>22393.78</v>
      </c>
      <c r="E37" s="26">
        <v>8162.83</v>
      </c>
      <c r="F37" s="26">
        <v>1350.44</v>
      </c>
      <c r="G37" s="26">
        <v>2215.1</v>
      </c>
      <c r="H37" s="27"/>
      <c r="I37" s="26"/>
      <c r="J37" s="26"/>
      <c r="K37" s="26"/>
      <c r="L37" s="26"/>
      <c r="M37" s="26"/>
      <c r="N37" s="26"/>
      <c r="O37" s="26"/>
      <c r="P37" s="26"/>
      <c r="Q37" s="77">
        <f t="shared" si="3"/>
        <v>0</v>
      </c>
      <c r="R37" s="78">
        <f t="shared" si="0"/>
        <v>53053.65</v>
      </c>
      <c r="S37" s="79">
        <f t="shared" si="2"/>
        <v>53053.65</v>
      </c>
      <c r="T37" s="95">
        <f>R37+PENS!E39+DIABET!C38+INS!C39+MIXT!E38+TESTE!C39+TESTE!D39+'COST VOLUM ONCO'!C38+ONCO!C38+POSTT!C38+SCLEROZ!C38+'CV UNICE'!C38+MUCOV!C38+MUCOV!D38</f>
        <v>106610.87999999999</v>
      </c>
      <c r="U37" s="82">
        <f>R37+PENS!C39</f>
        <v>56470.57</v>
      </c>
      <c r="V37" s="84"/>
      <c r="X37" s="82"/>
    </row>
    <row r="38" spans="1:24" ht="15.75">
      <c r="A38" s="75">
        <v>34</v>
      </c>
      <c r="B38" s="76" t="s">
        <v>93</v>
      </c>
      <c r="C38" s="26">
        <v>5833.35</v>
      </c>
      <c r="D38" s="26">
        <v>5237.56</v>
      </c>
      <c r="E38" s="26">
        <v>2799.24</v>
      </c>
      <c r="F38" s="26">
        <v>1011.19</v>
      </c>
      <c r="G38" s="26">
        <v>804.4</v>
      </c>
      <c r="H38" s="27"/>
      <c r="I38" s="26"/>
      <c r="J38" s="26"/>
      <c r="K38" s="26"/>
      <c r="L38" s="26"/>
      <c r="M38" s="26"/>
      <c r="N38" s="26"/>
      <c r="O38" s="26"/>
      <c r="P38" s="26"/>
      <c r="Q38" s="77">
        <f t="shared" si="3"/>
        <v>0</v>
      </c>
      <c r="R38" s="78">
        <f t="shared" si="0"/>
        <v>15685.74</v>
      </c>
      <c r="S38" s="79">
        <f t="shared" si="2"/>
        <v>15685.74</v>
      </c>
      <c r="T38" s="95">
        <f>R38+PENS!E40+DIABET!C39+INS!C40+MIXT!E39+TESTE!C40+TESTE!D40+'COST VOLUM ONCO'!C39+ONCO!C39+POSTT!C39+SCLEROZ!C39+'CV UNICE'!C39+MUCOV!C39+MUCOV!D39</f>
        <v>21266.26</v>
      </c>
      <c r="U38" s="82">
        <f>R38+PENS!C40</f>
        <v>17209.06</v>
      </c>
      <c r="V38" s="84"/>
      <c r="X38" s="82"/>
    </row>
    <row r="39" spans="1:24" ht="15.75">
      <c r="A39" s="75">
        <v>35</v>
      </c>
      <c r="B39" s="76" t="s">
        <v>94</v>
      </c>
      <c r="C39" s="26">
        <v>5490.62</v>
      </c>
      <c r="D39" s="26">
        <v>3984.6</v>
      </c>
      <c r="E39" s="26">
        <v>4676.56</v>
      </c>
      <c r="F39" s="26">
        <v>125.64</v>
      </c>
      <c r="G39" s="26">
        <v>296.81</v>
      </c>
      <c r="H39" s="27"/>
      <c r="I39" s="26"/>
      <c r="J39" s="26"/>
      <c r="K39" s="26"/>
      <c r="L39" s="26"/>
      <c r="M39" s="26"/>
      <c r="N39" s="26"/>
      <c r="O39" s="26"/>
      <c r="P39" s="26"/>
      <c r="Q39" s="77">
        <f t="shared" si="3"/>
        <v>0</v>
      </c>
      <c r="R39" s="78">
        <f t="shared" si="0"/>
        <v>14574.229999999998</v>
      </c>
      <c r="S39" s="79">
        <f t="shared" si="2"/>
        <v>14574.229999999998</v>
      </c>
      <c r="T39" s="95">
        <f>R39+PENS!E41+DIABET!C40+INS!C41+MIXT!E40+TESTE!C41+TESTE!D41+'COST VOLUM ONCO'!C40+ONCO!C40+POSTT!C40+SCLEROZ!C40+'CV UNICE'!C40+MUCOV!C40+MUCOV!D40</f>
        <v>16254.799999999997</v>
      </c>
      <c r="U39" s="82">
        <f>R39+PENS!C41</f>
        <v>14917.599999999999</v>
      </c>
      <c r="V39" s="84"/>
      <c r="X39" s="82"/>
    </row>
    <row r="40" spans="1:59" s="68" customFormat="1" ht="15.75">
      <c r="A40" s="75">
        <v>36</v>
      </c>
      <c r="B40" s="76" t="s">
        <v>98</v>
      </c>
      <c r="C40" s="26">
        <v>7305.22</v>
      </c>
      <c r="D40" s="26">
        <v>8379.52</v>
      </c>
      <c r="E40" s="26">
        <v>4802.33</v>
      </c>
      <c r="F40" s="26">
        <v>1251.38</v>
      </c>
      <c r="G40" s="26">
        <v>1166.42</v>
      </c>
      <c r="H40" s="26">
        <v>290.06</v>
      </c>
      <c r="I40" s="26"/>
      <c r="J40" s="26"/>
      <c r="K40" s="26"/>
      <c r="L40" s="26"/>
      <c r="M40" s="26"/>
      <c r="N40" s="26"/>
      <c r="O40" s="26"/>
      <c r="P40" s="26"/>
      <c r="Q40" s="77">
        <f t="shared" si="3"/>
        <v>290.06</v>
      </c>
      <c r="R40" s="78">
        <f t="shared" si="0"/>
        <v>23194.930000000004</v>
      </c>
      <c r="S40" s="79">
        <f t="shared" si="2"/>
        <v>22904.870000000003</v>
      </c>
      <c r="T40" s="95">
        <f>R40+PENS!E42+DIABET!C41+INS!C42+MIXT!E41+TESTE!C42+TESTE!D42+'COST VOLUM ONCO'!C41+ONCO!C41+POSTT!C41+SCLEROZ!C41+'CV UNICE'!C41+MUCOV!C41+MUCOV!D41</f>
        <v>28007.290000000005</v>
      </c>
      <c r="U40" s="82">
        <f>R40+PENS!C42</f>
        <v>25227.590000000004</v>
      </c>
      <c r="V40" s="84"/>
      <c r="W40" s="4"/>
      <c r="X40" s="82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24" s="4" customFormat="1" ht="15.75">
      <c r="A41" s="75">
        <v>37</v>
      </c>
      <c r="B41" s="76" t="s">
        <v>113</v>
      </c>
      <c r="C41" s="26">
        <v>2785.66</v>
      </c>
      <c r="D41" s="26">
        <v>1939.02</v>
      </c>
      <c r="E41" s="26">
        <v>1309.5</v>
      </c>
      <c r="F41" s="26">
        <v>130.1</v>
      </c>
      <c r="G41" s="26">
        <v>299.31</v>
      </c>
      <c r="H41" s="26"/>
      <c r="I41" s="26"/>
      <c r="J41" s="26"/>
      <c r="K41" s="26"/>
      <c r="L41" s="26"/>
      <c r="M41" s="26"/>
      <c r="N41" s="26"/>
      <c r="O41" s="26"/>
      <c r="P41" s="26"/>
      <c r="Q41" s="77">
        <f t="shared" si="3"/>
        <v>0</v>
      </c>
      <c r="R41" s="78">
        <f t="shared" si="0"/>
        <v>6463.590000000001</v>
      </c>
      <c r="S41" s="79">
        <f t="shared" si="2"/>
        <v>6463.590000000001</v>
      </c>
      <c r="T41" s="95">
        <f>R41+PENS!E43+DIABET!C42+INS!C43+MIXT!E42+TESTE!C43+TESTE!D43+'COST VOLUM ONCO'!C42+ONCO!C42+POSTT!C42+SCLEROZ!C42+'CV UNICE'!C42+MUCOV!C42+MUCOV!D42</f>
        <v>6917.020000000001</v>
      </c>
      <c r="U41" s="82">
        <f>R41+PENS!C43</f>
        <v>6485.200000000001</v>
      </c>
      <c r="V41" s="84"/>
      <c r="X41" s="82"/>
    </row>
    <row r="42" spans="1:24" s="4" customFormat="1" ht="16.5" thickBot="1">
      <c r="A42" s="75">
        <v>38</v>
      </c>
      <c r="B42" s="76" t="s">
        <v>114</v>
      </c>
      <c r="C42" s="26">
        <v>4568.23</v>
      </c>
      <c r="D42" s="26">
        <v>3825.93</v>
      </c>
      <c r="E42" s="26">
        <v>469.61</v>
      </c>
      <c r="F42" s="26">
        <v>1531.16</v>
      </c>
      <c r="G42" s="26">
        <v>492.44</v>
      </c>
      <c r="H42" s="26"/>
      <c r="I42" s="26"/>
      <c r="J42" s="26"/>
      <c r="K42" s="26"/>
      <c r="L42" s="26"/>
      <c r="M42" s="26"/>
      <c r="N42" s="26"/>
      <c r="O42" s="26"/>
      <c r="P42" s="26"/>
      <c r="Q42" s="77">
        <f t="shared" si="3"/>
        <v>0</v>
      </c>
      <c r="R42" s="78">
        <f t="shared" si="0"/>
        <v>10887.37</v>
      </c>
      <c r="S42" s="79">
        <f t="shared" si="2"/>
        <v>10887.37</v>
      </c>
      <c r="T42" s="95">
        <f>R42+PENS!E44+DIABET!C43+INS!C44+MIXT!E43+TESTE!C44+TESTE!D44+'COST VOLUM ONCO'!C43+ONCO!C43+POSTT!C43+SCLEROZ!C43+'CV UNICE'!C43+MUCOV!C43+MUCOV!D43</f>
        <v>13191.060000000001</v>
      </c>
      <c r="U42" s="82">
        <f>R42+PENS!C44</f>
        <v>11390.67</v>
      </c>
      <c r="V42" s="84"/>
      <c r="X42" s="82"/>
    </row>
    <row r="43" spans="1:59" s="69" customFormat="1" ht="26.25" customHeight="1" thickBot="1">
      <c r="A43" s="77"/>
      <c r="B43" s="77" t="s">
        <v>35</v>
      </c>
      <c r="C43" s="77">
        <f>SUM(C5:C42)</f>
        <v>781913.6999999997</v>
      </c>
      <c r="D43" s="77">
        <f aca="true" t="shared" si="4" ref="D43:P43">SUM(D5:D42)</f>
        <v>873561.37</v>
      </c>
      <c r="E43" s="77">
        <f t="shared" si="4"/>
        <v>658194.7300000001</v>
      </c>
      <c r="F43" s="77">
        <f t="shared" si="4"/>
        <v>98751.43000000002</v>
      </c>
      <c r="G43" s="77">
        <f t="shared" si="4"/>
        <v>104191.19999999998</v>
      </c>
      <c r="H43" s="77">
        <f t="shared" si="4"/>
        <v>18958.2</v>
      </c>
      <c r="I43" s="77">
        <f t="shared" si="4"/>
        <v>0</v>
      </c>
      <c r="J43" s="77">
        <f t="shared" si="4"/>
        <v>25764.399999999994</v>
      </c>
      <c r="K43" s="77">
        <f t="shared" si="4"/>
        <v>16073.86</v>
      </c>
      <c r="L43" s="77">
        <f t="shared" si="4"/>
        <v>147321.66</v>
      </c>
      <c r="M43" s="77">
        <f t="shared" si="4"/>
        <v>23254.949999999997</v>
      </c>
      <c r="N43" s="77">
        <f t="shared" si="4"/>
        <v>70320.43999999999</v>
      </c>
      <c r="O43" s="77">
        <f t="shared" si="4"/>
        <v>1815.63</v>
      </c>
      <c r="P43" s="77">
        <f t="shared" si="4"/>
        <v>30710.479999999996</v>
      </c>
      <c r="Q43" s="77">
        <f>SUM(Q5:Q42)</f>
        <v>334219.62000000005</v>
      </c>
      <c r="R43" s="77">
        <f>SUM(R5:R42)</f>
        <v>2850832.0500000003</v>
      </c>
      <c r="S43" s="77">
        <f>SUM(S5:S42)</f>
        <v>2516612.4300000006</v>
      </c>
      <c r="T43" s="84">
        <f>R43+PENS!E45+DIABET!C44+INS!C45+MIXT!E44+TESTE!C45+TESTE!D45+'COST VOLUM ONCO'!C44+ONCO!C44+POSTT!C44+SCLEROZ!C44+'CV UNICE'!C44+MUCOV!C44+MUCOV!D44</f>
        <v>4983324.999999999</v>
      </c>
      <c r="U43" s="82">
        <f>R43+PENS!C45</f>
        <v>2963482.5900000003</v>
      </c>
      <c r="V43" s="88"/>
      <c r="W43" s="4"/>
      <c r="X43" s="82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2:19" ht="15.75">
      <c r="B44" s="30"/>
      <c r="C44" s="31"/>
      <c r="D44" s="31"/>
      <c r="E44" s="31"/>
      <c r="F44" s="32"/>
      <c r="G44" s="32"/>
      <c r="H44" s="33"/>
      <c r="I44" s="31"/>
      <c r="J44" s="31"/>
      <c r="K44" s="31"/>
      <c r="L44" s="31"/>
      <c r="M44" s="31"/>
      <c r="N44" s="31"/>
      <c r="O44" s="31"/>
      <c r="P44" s="31"/>
      <c r="Q44" s="31"/>
      <c r="S44" s="33"/>
    </row>
    <row r="45" spans="2:19" ht="15.75">
      <c r="B45" s="34"/>
      <c r="C45" s="31"/>
      <c r="D45" s="31"/>
      <c r="E45" s="31"/>
      <c r="F45" s="32"/>
      <c r="G45" s="32"/>
      <c r="H45" s="33"/>
      <c r="I45" s="31"/>
      <c r="J45" s="31"/>
      <c r="K45" s="31"/>
      <c r="L45" s="31"/>
      <c r="M45" s="31"/>
      <c r="N45" s="31"/>
      <c r="O45" s="31"/>
      <c r="P45" s="31"/>
      <c r="Q45" s="31"/>
      <c r="S45" s="33"/>
    </row>
    <row r="46" spans="2:18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  <c r="R46" s="3"/>
    </row>
    <row r="47" spans="2:17" ht="15">
      <c r="B47" s="9"/>
      <c r="C47" s="1"/>
      <c r="D47" s="1"/>
      <c r="E47" s="1"/>
      <c r="F47" s="2"/>
      <c r="G47" s="2"/>
      <c r="H47" s="17"/>
      <c r="I47" s="1"/>
      <c r="J47" s="1"/>
      <c r="K47" s="1"/>
      <c r="L47" s="1"/>
      <c r="M47" s="1"/>
      <c r="N47" s="1"/>
      <c r="O47" s="1"/>
      <c r="P47" s="1"/>
      <c r="Q47" s="1"/>
    </row>
    <row r="48" spans="2:17" ht="15">
      <c r="B48" s="9"/>
      <c r="C48" s="1"/>
      <c r="D48" s="1"/>
      <c r="E48" s="1"/>
      <c r="F48" s="2"/>
      <c r="G48" s="2"/>
      <c r="H48" s="16"/>
      <c r="I48" s="1"/>
      <c r="J48" s="1"/>
      <c r="K48" s="1"/>
      <c r="L48" s="1"/>
      <c r="M48" s="1"/>
      <c r="N48" s="1"/>
      <c r="O48" s="1"/>
      <c r="P48" s="1"/>
      <c r="Q48" s="1"/>
    </row>
    <row r="49" spans="2:17" ht="15">
      <c r="B49" s="9"/>
      <c r="C49" s="1"/>
      <c r="D49" s="1"/>
      <c r="E49" s="1"/>
      <c r="F49" s="2"/>
      <c r="G49" s="2"/>
      <c r="H49" s="16"/>
      <c r="I49" s="1"/>
      <c r="J49" s="1"/>
      <c r="K49" s="1"/>
      <c r="L49" s="1"/>
      <c r="M49" s="1"/>
      <c r="N49" s="1"/>
      <c r="O49" s="1"/>
      <c r="P49" s="1"/>
      <c r="Q49" s="1"/>
    </row>
    <row r="50" spans="2:19" ht="12.75">
      <c r="B50" s="15"/>
      <c r="S50" s="85"/>
    </row>
    <row r="51" spans="2:12" ht="12.75">
      <c r="B51" s="10"/>
      <c r="F51" s="3"/>
      <c r="G51" s="3"/>
      <c r="L51" s="3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spans="2:19" ht="12.75">
      <c r="B61" s="11"/>
      <c r="C61" s="4"/>
      <c r="D61" s="4"/>
      <c r="E61" s="4"/>
      <c r="F61" s="4"/>
      <c r="G61" s="4"/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14"/>
    </row>
    <row r="62" spans="2:19" ht="12.75">
      <c r="B62" s="11"/>
      <c r="C62" s="4"/>
      <c r="D62" s="4"/>
      <c r="E62" s="4"/>
      <c r="F62" s="4"/>
      <c r="G62" s="4"/>
      <c r="H62" s="19"/>
      <c r="I62" s="4"/>
      <c r="J62" s="4"/>
      <c r="K62" s="4"/>
      <c r="L62" s="4"/>
      <c r="M62" s="4"/>
      <c r="N62" s="4"/>
      <c r="O62" s="4"/>
      <c r="P62" s="4"/>
      <c r="Q62" s="4"/>
      <c r="R62" s="4"/>
      <c r="S62" s="14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4">
      <selection activeCell="C30" sqref="C30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97" t="s">
        <v>125</v>
      </c>
      <c r="B3" s="97"/>
      <c r="C3" s="97"/>
      <c r="D3" s="97"/>
      <c r="E3" s="97"/>
      <c r="F3" s="97"/>
      <c r="G3" s="97"/>
      <c r="H3" s="97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49" t="s">
        <v>0</v>
      </c>
      <c r="B5" s="49" t="s">
        <v>1</v>
      </c>
      <c r="C5" s="51" t="s">
        <v>51</v>
      </c>
      <c r="D5" s="48"/>
      <c r="E5" s="1"/>
      <c r="F5" s="1"/>
      <c r="G5" s="37"/>
      <c r="H5" s="37"/>
    </row>
    <row r="6" spans="1:8" ht="15">
      <c r="A6" s="40" t="s">
        <v>79</v>
      </c>
      <c r="B6" s="7" t="s">
        <v>6</v>
      </c>
      <c r="C6" s="8"/>
      <c r="D6" s="12"/>
      <c r="E6" s="1"/>
      <c r="F6" s="1"/>
      <c r="G6" s="37"/>
      <c r="H6" s="37"/>
    </row>
    <row r="7" spans="1:8" ht="15">
      <c r="A7" s="40" t="s">
        <v>52</v>
      </c>
      <c r="B7" s="7" t="s">
        <v>39</v>
      </c>
      <c r="C7" s="47"/>
      <c r="D7" s="12"/>
      <c r="E7" s="1"/>
      <c r="F7" s="1"/>
      <c r="G7" s="37"/>
      <c r="H7" s="37"/>
    </row>
    <row r="8" spans="1:8" ht="15">
      <c r="A8" s="40" t="s">
        <v>53</v>
      </c>
      <c r="B8" s="7" t="s">
        <v>8</v>
      </c>
      <c r="C8" s="47"/>
      <c r="D8" s="12"/>
      <c r="E8" s="1"/>
      <c r="F8" s="1"/>
      <c r="G8" s="37"/>
      <c r="H8" s="37"/>
    </row>
    <row r="9" spans="1:8" ht="15">
      <c r="A9" s="40" t="s">
        <v>54</v>
      </c>
      <c r="B9" s="7" t="s">
        <v>9</v>
      </c>
      <c r="C9" s="47"/>
      <c r="D9" s="12"/>
      <c r="E9" s="1"/>
      <c r="F9" s="1"/>
      <c r="G9" s="37"/>
      <c r="H9" s="37"/>
    </row>
    <row r="10" spans="1:8" ht="15">
      <c r="A10" s="40" t="s">
        <v>55</v>
      </c>
      <c r="B10" s="7" t="s">
        <v>10</v>
      </c>
      <c r="C10" s="47"/>
      <c r="D10" s="12"/>
      <c r="E10" s="1"/>
      <c r="F10" s="1"/>
      <c r="G10" s="37"/>
      <c r="H10" s="37"/>
    </row>
    <row r="11" spans="1:8" ht="15">
      <c r="A11" s="40" t="s">
        <v>56</v>
      </c>
      <c r="B11" s="7" t="s">
        <v>11</v>
      </c>
      <c r="C11" s="47"/>
      <c r="D11" s="12"/>
      <c r="E11" s="1"/>
      <c r="F11" s="1"/>
      <c r="G11" s="37"/>
      <c r="H11" s="37"/>
    </row>
    <row r="12" spans="1:8" ht="15">
      <c r="A12" s="40" t="s">
        <v>57</v>
      </c>
      <c r="B12" s="7" t="s">
        <v>12</v>
      </c>
      <c r="C12" s="47"/>
      <c r="D12" s="12"/>
      <c r="E12" s="1"/>
      <c r="F12" s="1"/>
      <c r="G12" s="37"/>
      <c r="H12" s="37"/>
    </row>
    <row r="13" spans="1:8" ht="15">
      <c r="A13" s="40" t="s">
        <v>58</v>
      </c>
      <c r="B13" s="7" t="s">
        <v>13</v>
      </c>
      <c r="C13" s="47">
        <v>439.43</v>
      </c>
      <c r="D13" s="12"/>
      <c r="E13" s="1"/>
      <c r="F13" s="1"/>
      <c r="G13" s="37"/>
      <c r="H13" s="37"/>
    </row>
    <row r="14" spans="1:8" ht="15">
      <c r="A14" s="40" t="s">
        <v>59</v>
      </c>
      <c r="B14" s="7" t="s">
        <v>112</v>
      </c>
      <c r="C14" s="47"/>
      <c r="D14" s="12"/>
      <c r="E14" s="1"/>
      <c r="F14" s="1"/>
      <c r="G14" s="37"/>
      <c r="H14" s="37"/>
    </row>
    <row r="15" spans="1:8" ht="15">
      <c r="A15" s="40" t="s">
        <v>60</v>
      </c>
      <c r="B15" s="7" t="s">
        <v>14</v>
      </c>
      <c r="C15" s="8"/>
      <c r="D15" s="12"/>
      <c r="E15" s="1"/>
      <c r="F15" s="1"/>
      <c r="G15" s="37"/>
      <c r="H15" s="37"/>
    </row>
    <row r="16" spans="1:8" ht="15">
      <c r="A16" s="40" t="s">
        <v>61</v>
      </c>
      <c r="B16" s="7" t="s">
        <v>15</v>
      </c>
      <c r="C16" s="47"/>
      <c r="D16" s="12"/>
      <c r="E16" s="1"/>
      <c r="F16" s="1"/>
      <c r="G16" s="37"/>
      <c r="H16" s="37"/>
    </row>
    <row r="17" spans="1:8" ht="15">
      <c r="A17" s="40" t="s">
        <v>62</v>
      </c>
      <c r="B17" s="7" t="s">
        <v>40</v>
      </c>
      <c r="C17" s="47"/>
      <c r="D17" s="12"/>
      <c r="E17" s="1"/>
      <c r="F17" s="1"/>
      <c r="G17" s="37"/>
      <c r="H17" s="37"/>
    </row>
    <row r="18" spans="1:8" ht="15">
      <c r="A18" s="40" t="s">
        <v>63</v>
      </c>
      <c r="B18" s="7" t="s">
        <v>17</v>
      </c>
      <c r="C18" s="47"/>
      <c r="D18" s="12"/>
      <c r="E18" s="1"/>
      <c r="F18" s="1"/>
      <c r="G18" s="37"/>
      <c r="H18" s="37"/>
    </row>
    <row r="19" spans="1:8" ht="15">
      <c r="A19" s="40" t="s">
        <v>64</v>
      </c>
      <c r="B19" s="7" t="s">
        <v>18</v>
      </c>
      <c r="C19" s="47"/>
      <c r="D19" s="12"/>
      <c r="E19" s="1"/>
      <c r="F19" s="1"/>
      <c r="G19" s="37"/>
      <c r="H19" s="37"/>
    </row>
    <row r="20" spans="1:8" ht="15">
      <c r="A20" s="40" t="s">
        <v>65</v>
      </c>
      <c r="B20" s="7" t="s">
        <v>19</v>
      </c>
      <c r="C20" s="8">
        <v>439.43</v>
      </c>
      <c r="D20" s="12"/>
      <c r="E20" s="1"/>
      <c r="F20" s="1"/>
      <c r="G20" s="37"/>
      <c r="H20" s="37"/>
    </row>
    <row r="21" spans="1:8" ht="15">
      <c r="A21" s="40" t="s">
        <v>66</v>
      </c>
      <c r="B21" s="7" t="s">
        <v>20</v>
      </c>
      <c r="C21" s="47"/>
      <c r="D21" s="12"/>
      <c r="E21" s="1"/>
      <c r="F21" s="1"/>
      <c r="G21" s="37"/>
      <c r="H21" s="37"/>
    </row>
    <row r="22" spans="1:8" ht="15">
      <c r="A22" s="40" t="s">
        <v>67</v>
      </c>
      <c r="B22" s="7" t="s">
        <v>21</v>
      </c>
      <c r="C22" s="47"/>
      <c r="D22" s="12"/>
      <c r="E22" s="1"/>
      <c r="F22" s="1"/>
      <c r="G22" s="37"/>
      <c r="H22" s="37"/>
    </row>
    <row r="23" spans="1:8" ht="15">
      <c r="A23" s="40" t="s">
        <v>68</v>
      </c>
      <c r="B23" s="7" t="s">
        <v>22</v>
      </c>
      <c r="C23" s="47"/>
      <c r="D23" s="12"/>
      <c r="E23" s="1"/>
      <c r="F23" s="1"/>
      <c r="G23" s="37"/>
      <c r="H23" s="37"/>
    </row>
    <row r="24" spans="1:8" ht="15">
      <c r="A24" s="40" t="s">
        <v>69</v>
      </c>
      <c r="B24" s="7" t="s">
        <v>23</v>
      </c>
      <c r="C24" s="47"/>
      <c r="D24" s="12"/>
      <c r="E24" s="1"/>
      <c r="F24" s="1"/>
      <c r="G24" s="37"/>
      <c r="H24" s="37"/>
    </row>
    <row r="25" spans="1:8" ht="15">
      <c r="A25" s="40" t="s">
        <v>70</v>
      </c>
      <c r="B25" s="7" t="s">
        <v>24</v>
      </c>
      <c r="C25" s="47"/>
      <c r="D25" s="12"/>
      <c r="E25" s="1"/>
      <c r="F25" s="1"/>
      <c r="G25" s="37"/>
      <c r="H25" s="37"/>
    </row>
    <row r="26" spans="1:8" ht="15">
      <c r="A26" s="40" t="s">
        <v>71</v>
      </c>
      <c r="B26" s="7" t="s">
        <v>25</v>
      </c>
      <c r="C26" s="47"/>
      <c r="D26" s="12"/>
      <c r="E26" s="1"/>
      <c r="F26" s="1"/>
      <c r="G26" s="37"/>
      <c r="H26" s="37"/>
    </row>
    <row r="27" spans="1:8" ht="15">
      <c r="A27" s="40" t="s">
        <v>72</v>
      </c>
      <c r="B27" s="7" t="s">
        <v>26</v>
      </c>
      <c r="C27" s="47"/>
      <c r="D27" s="12"/>
      <c r="E27" s="1"/>
      <c r="F27" s="1"/>
      <c r="G27" s="37"/>
      <c r="H27" s="37"/>
    </row>
    <row r="28" spans="1:8" ht="15">
      <c r="A28" s="40" t="s">
        <v>73</v>
      </c>
      <c r="B28" s="7" t="s">
        <v>27</v>
      </c>
      <c r="C28" s="47"/>
      <c r="D28" s="12"/>
      <c r="E28" s="1"/>
      <c r="F28" s="1"/>
      <c r="G28" s="37"/>
      <c r="H28" s="37"/>
    </row>
    <row r="29" spans="1:8" ht="15">
      <c r="A29" s="40" t="s">
        <v>74</v>
      </c>
      <c r="B29" s="7" t="s">
        <v>28</v>
      </c>
      <c r="C29" s="8">
        <v>878.84</v>
      </c>
      <c r="D29" s="12"/>
      <c r="E29" s="1"/>
      <c r="F29" s="1"/>
      <c r="G29" s="37"/>
      <c r="H29" s="37"/>
    </row>
    <row r="30" spans="1:8" ht="15">
      <c r="A30" s="40" t="s">
        <v>75</v>
      </c>
      <c r="B30" s="7" t="s">
        <v>29</v>
      </c>
      <c r="C30" s="47"/>
      <c r="D30" s="12"/>
      <c r="E30" s="1"/>
      <c r="F30" s="1"/>
      <c r="G30" s="37"/>
      <c r="H30" s="37"/>
    </row>
    <row r="31" spans="1:8" ht="15">
      <c r="A31" s="40" t="s">
        <v>76</v>
      </c>
      <c r="B31" s="7" t="s">
        <v>30</v>
      </c>
      <c r="C31" s="47"/>
      <c r="D31" s="12"/>
      <c r="E31" s="1"/>
      <c r="F31" s="1"/>
      <c r="G31" s="37"/>
      <c r="H31" s="37"/>
    </row>
    <row r="32" spans="1:8" ht="15">
      <c r="A32" s="40" t="s">
        <v>77</v>
      </c>
      <c r="B32" s="7" t="s">
        <v>31</v>
      </c>
      <c r="C32" s="47"/>
      <c r="D32" s="12"/>
      <c r="E32" s="1"/>
      <c r="F32" s="1"/>
      <c r="G32" s="37"/>
      <c r="H32" s="37"/>
    </row>
    <row r="33" spans="1:8" ht="15">
      <c r="A33" s="40" t="s">
        <v>78</v>
      </c>
      <c r="B33" s="7" t="s">
        <v>32</v>
      </c>
      <c r="C33" s="47"/>
      <c r="D33" s="12"/>
      <c r="E33" s="1"/>
      <c r="F33" s="1"/>
      <c r="G33" s="37"/>
      <c r="H33" s="37"/>
    </row>
    <row r="34" spans="1:8" ht="15">
      <c r="A34" s="40" t="s">
        <v>80</v>
      </c>
      <c r="B34" s="7" t="s">
        <v>33</v>
      </c>
      <c r="C34" s="47"/>
      <c r="D34" s="12"/>
      <c r="E34" s="1"/>
      <c r="F34" s="1"/>
      <c r="G34" s="37"/>
      <c r="H34" s="37"/>
    </row>
    <row r="35" spans="1:8" ht="15">
      <c r="A35" s="40" t="s">
        <v>81</v>
      </c>
      <c r="B35" s="7" t="s">
        <v>34</v>
      </c>
      <c r="C35" s="47"/>
      <c r="D35" s="12"/>
      <c r="E35" s="1"/>
      <c r="F35" s="1"/>
      <c r="G35" s="37"/>
      <c r="H35" s="37"/>
    </row>
    <row r="36" spans="1:8" ht="15">
      <c r="A36" s="40" t="s">
        <v>82</v>
      </c>
      <c r="B36" s="7" t="s">
        <v>88</v>
      </c>
      <c r="C36" s="47"/>
      <c r="D36" s="12"/>
      <c r="E36" s="1"/>
      <c r="F36" s="1"/>
      <c r="G36" s="37"/>
      <c r="H36" s="37"/>
    </row>
    <row r="37" spans="1:8" ht="15">
      <c r="A37" s="40" t="s">
        <v>83</v>
      </c>
      <c r="B37" s="7" t="s">
        <v>89</v>
      </c>
      <c r="C37" s="47"/>
      <c r="D37" s="12"/>
      <c r="E37" s="1"/>
      <c r="F37" s="1"/>
      <c r="G37" s="37"/>
      <c r="H37" s="37"/>
    </row>
    <row r="38" spans="1:8" ht="15">
      <c r="A38" s="40" t="s">
        <v>84</v>
      </c>
      <c r="B38" s="7" t="s">
        <v>90</v>
      </c>
      <c r="C38" s="47"/>
      <c r="D38" s="12"/>
      <c r="E38" s="1"/>
      <c r="F38" s="1"/>
      <c r="G38" s="37"/>
      <c r="H38" s="37"/>
    </row>
    <row r="39" spans="1:8" ht="15">
      <c r="A39" s="40" t="s">
        <v>85</v>
      </c>
      <c r="B39" s="7" t="s">
        <v>93</v>
      </c>
      <c r="C39" s="47"/>
      <c r="D39" s="12"/>
      <c r="E39" s="1"/>
      <c r="F39" s="1"/>
      <c r="G39" s="37"/>
      <c r="H39" s="37"/>
    </row>
    <row r="40" spans="1:8" ht="15">
      <c r="A40" s="40" t="s">
        <v>86</v>
      </c>
      <c r="B40" s="7" t="s">
        <v>94</v>
      </c>
      <c r="C40" s="47"/>
      <c r="D40" s="12"/>
      <c r="E40" s="1"/>
      <c r="F40" s="1"/>
      <c r="G40" s="37"/>
      <c r="H40" s="37"/>
    </row>
    <row r="41" spans="1:8" ht="15">
      <c r="A41" s="40" t="s">
        <v>91</v>
      </c>
      <c r="B41" s="7" t="s">
        <v>98</v>
      </c>
      <c r="C41" s="47"/>
      <c r="D41" s="12"/>
      <c r="E41" s="1"/>
      <c r="F41" s="1"/>
      <c r="G41" s="37"/>
      <c r="H41" s="37"/>
    </row>
    <row r="42" spans="1:8" ht="15">
      <c r="A42" s="40" t="s">
        <v>115</v>
      </c>
      <c r="B42" s="7" t="s">
        <v>113</v>
      </c>
      <c r="C42" s="47"/>
      <c r="D42" s="12"/>
      <c r="E42" s="1"/>
      <c r="F42" s="1"/>
      <c r="G42" s="37"/>
      <c r="H42" s="37"/>
    </row>
    <row r="43" spans="1:8" ht="15.75" thickBot="1">
      <c r="A43" s="40" t="s">
        <v>116</v>
      </c>
      <c r="B43" s="7" t="s">
        <v>114</v>
      </c>
      <c r="C43" s="47"/>
      <c r="D43" s="12"/>
      <c r="E43" s="1"/>
      <c r="F43" s="1"/>
      <c r="G43" s="37"/>
      <c r="H43" s="37"/>
    </row>
    <row r="44" spans="1:8" ht="15.75" thickBot="1">
      <c r="A44" s="54"/>
      <c r="B44" s="55" t="s">
        <v>35</v>
      </c>
      <c r="C44" s="93">
        <f>SUM(C6:C41)</f>
        <v>1757.7</v>
      </c>
      <c r="D44" s="45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1"/>
      <c r="G45" s="37"/>
      <c r="H45" s="37"/>
    </row>
    <row r="46" spans="1:8" ht="14.25">
      <c r="A46" s="37"/>
      <c r="B46" s="37"/>
      <c r="C46" s="39"/>
      <c r="D46" s="1"/>
      <c r="E46" s="1"/>
      <c r="F46" s="1"/>
      <c r="G46" s="37"/>
      <c r="H46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8"/>
  <sheetViews>
    <sheetView tabSelected="1" workbookViewId="0" topLeftCell="A6">
      <selection activeCell="C6" sqref="C6:C43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81" t="s">
        <v>126</v>
      </c>
      <c r="B3" s="81"/>
      <c r="C3" s="81"/>
      <c r="D3" s="81"/>
      <c r="E3" s="81"/>
      <c r="F3" s="81"/>
      <c r="G3" s="81"/>
      <c r="H3" s="81"/>
      <c r="I3" s="81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60">
      <c r="A5" s="49" t="s">
        <v>0</v>
      </c>
      <c r="B5" s="49" t="s">
        <v>1</v>
      </c>
      <c r="C5" s="51" t="s">
        <v>111</v>
      </c>
      <c r="D5" s="45"/>
      <c r="E5" s="12"/>
      <c r="F5" s="1"/>
      <c r="G5" s="1"/>
      <c r="H5" s="37"/>
      <c r="I5" s="37"/>
    </row>
    <row r="6" spans="1:9" ht="15">
      <c r="A6" s="40" t="s">
        <v>79</v>
      </c>
      <c r="B6" s="7" t="s">
        <v>6</v>
      </c>
      <c r="C6" s="8">
        <v>980.34</v>
      </c>
      <c r="D6" s="46"/>
      <c r="E6" s="12"/>
      <c r="F6" s="1"/>
      <c r="G6" s="1"/>
      <c r="H6" s="37"/>
      <c r="I6" s="37"/>
    </row>
    <row r="7" spans="1:9" ht="15">
      <c r="A7" s="40" t="s">
        <v>52</v>
      </c>
      <c r="B7" s="7" t="s">
        <v>39</v>
      </c>
      <c r="C7" s="8">
        <v>326.78</v>
      </c>
      <c r="D7" s="46"/>
      <c r="E7" s="12"/>
      <c r="F7" s="1"/>
      <c r="G7" s="1"/>
      <c r="H7" s="37"/>
      <c r="I7" s="37"/>
    </row>
    <row r="8" spans="1:9" ht="15">
      <c r="A8" s="40" t="s">
        <v>53</v>
      </c>
      <c r="B8" s="7" t="s">
        <v>8</v>
      </c>
      <c r="C8" s="8">
        <v>326.78</v>
      </c>
      <c r="D8" s="46"/>
      <c r="E8" s="12"/>
      <c r="F8" s="1"/>
      <c r="G8" s="1"/>
      <c r="H8" s="37"/>
      <c r="I8" s="37"/>
    </row>
    <row r="9" spans="1:9" ht="15">
      <c r="A9" s="40" t="s">
        <v>54</v>
      </c>
      <c r="B9" s="7" t="s">
        <v>9</v>
      </c>
      <c r="C9" s="8"/>
      <c r="D9" s="46"/>
      <c r="E9" s="12"/>
      <c r="F9" s="1"/>
      <c r="G9" s="1"/>
      <c r="H9" s="37"/>
      <c r="I9" s="37"/>
    </row>
    <row r="10" spans="1:9" ht="15">
      <c r="A10" s="40" t="s">
        <v>55</v>
      </c>
      <c r="B10" s="7" t="s">
        <v>10</v>
      </c>
      <c r="C10" s="8"/>
      <c r="D10" s="46"/>
      <c r="E10" s="12"/>
      <c r="F10" s="1"/>
      <c r="G10" s="1"/>
      <c r="H10" s="37"/>
      <c r="I10" s="37"/>
    </row>
    <row r="11" spans="1:9" ht="15">
      <c r="A11" s="40" t="s">
        <v>56</v>
      </c>
      <c r="B11" s="7" t="s">
        <v>11</v>
      </c>
      <c r="C11" s="8"/>
      <c r="D11" s="46"/>
      <c r="E11" s="12"/>
      <c r="F11" s="1"/>
      <c r="G11" s="1"/>
      <c r="H11" s="37"/>
      <c r="I11" s="37"/>
    </row>
    <row r="12" spans="1:9" ht="15">
      <c r="A12" s="40" t="s">
        <v>57</v>
      </c>
      <c r="B12" s="7" t="s">
        <v>12</v>
      </c>
      <c r="C12" s="8"/>
      <c r="D12" s="46"/>
      <c r="E12" s="12"/>
      <c r="F12" s="1"/>
      <c r="G12" s="1"/>
      <c r="H12" s="37"/>
      <c r="I12" s="37"/>
    </row>
    <row r="13" spans="1:9" ht="15">
      <c r="A13" s="40" t="s">
        <v>58</v>
      </c>
      <c r="B13" s="7" t="s">
        <v>13</v>
      </c>
      <c r="C13" s="8">
        <v>653.56</v>
      </c>
      <c r="D13" s="46"/>
      <c r="E13" s="12"/>
      <c r="F13" s="1"/>
      <c r="G13" s="1"/>
      <c r="H13" s="37"/>
      <c r="I13" s="37"/>
    </row>
    <row r="14" spans="1:9" ht="15">
      <c r="A14" s="40" t="s">
        <v>59</v>
      </c>
      <c r="B14" s="7" t="s">
        <v>112</v>
      </c>
      <c r="C14" s="8">
        <v>1307.12</v>
      </c>
      <c r="D14" s="46"/>
      <c r="E14" s="12"/>
      <c r="F14" s="1"/>
      <c r="G14" s="1"/>
      <c r="H14" s="37"/>
      <c r="I14" s="37"/>
    </row>
    <row r="15" spans="1:9" ht="15">
      <c r="A15" s="40" t="s">
        <v>60</v>
      </c>
      <c r="B15" s="7" t="s">
        <v>14</v>
      </c>
      <c r="C15" s="8">
        <v>653.56</v>
      </c>
      <c r="D15" s="46"/>
      <c r="E15" s="12"/>
      <c r="F15" s="1"/>
      <c r="G15" s="1"/>
      <c r="H15" s="37"/>
      <c r="I15" s="37"/>
    </row>
    <row r="16" spans="1:9" ht="15">
      <c r="A16" s="40" t="s">
        <v>61</v>
      </c>
      <c r="B16" s="7" t="s">
        <v>15</v>
      </c>
      <c r="C16" s="8">
        <v>980.34</v>
      </c>
      <c r="D16" s="46"/>
      <c r="E16" s="12"/>
      <c r="F16" s="1"/>
      <c r="G16" s="1"/>
      <c r="H16" s="37"/>
      <c r="I16" s="37"/>
    </row>
    <row r="17" spans="1:9" ht="15">
      <c r="A17" s="40" t="s">
        <v>62</v>
      </c>
      <c r="B17" s="7" t="s">
        <v>40</v>
      </c>
      <c r="C17" s="8">
        <v>980.34</v>
      </c>
      <c r="D17" s="46"/>
      <c r="E17" s="12"/>
      <c r="F17" s="1"/>
      <c r="G17" s="1"/>
      <c r="H17" s="37"/>
      <c r="I17" s="37"/>
    </row>
    <row r="18" spans="1:9" ht="15">
      <c r="A18" s="40" t="s">
        <v>63</v>
      </c>
      <c r="B18" s="7" t="s">
        <v>17</v>
      </c>
      <c r="C18" s="8">
        <v>653.56</v>
      </c>
      <c r="D18" s="46"/>
      <c r="E18" s="12"/>
      <c r="F18" s="1"/>
      <c r="G18" s="1"/>
      <c r="H18" s="37"/>
      <c r="I18" s="37"/>
    </row>
    <row r="19" spans="1:9" ht="15">
      <c r="A19" s="40" t="s">
        <v>64</v>
      </c>
      <c r="B19" s="7" t="s">
        <v>18</v>
      </c>
      <c r="C19" s="8">
        <v>653.56</v>
      </c>
      <c r="D19" s="46"/>
      <c r="E19" s="12"/>
      <c r="F19" s="1"/>
      <c r="G19" s="1"/>
      <c r="H19" s="37"/>
      <c r="I19" s="37"/>
    </row>
    <row r="20" spans="1:9" ht="15">
      <c r="A20" s="40" t="s">
        <v>65</v>
      </c>
      <c r="B20" s="7" t="s">
        <v>19</v>
      </c>
      <c r="C20" s="8"/>
      <c r="D20" s="46"/>
      <c r="E20" s="12"/>
      <c r="F20" s="1"/>
      <c r="G20" s="1"/>
      <c r="H20" s="37"/>
      <c r="I20" s="37"/>
    </row>
    <row r="21" spans="1:9" ht="15">
      <c r="A21" s="40" t="s">
        <v>66</v>
      </c>
      <c r="B21" s="7" t="s">
        <v>20</v>
      </c>
      <c r="C21" s="8"/>
      <c r="D21" s="46"/>
      <c r="E21" s="12"/>
      <c r="F21" s="1"/>
      <c r="G21" s="1"/>
      <c r="H21" s="37"/>
      <c r="I21" s="37"/>
    </row>
    <row r="22" spans="1:9" ht="15">
      <c r="A22" s="40" t="s">
        <v>67</v>
      </c>
      <c r="B22" s="7" t="s">
        <v>21</v>
      </c>
      <c r="C22" s="8"/>
      <c r="D22" s="46"/>
      <c r="E22" s="12"/>
      <c r="F22" s="1"/>
      <c r="G22" s="1"/>
      <c r="H22" s="37"/>
      <c r="I22" s="37"/>
    </row>
    <row r="23" spans="1:9" ht="15">
      <c r="A23" s="40" t="s">
        <v>68</v>
      </c>
      <c r="B23" s="7" t="s">
        <v>22</v>
      </c>
      <c r="C23" s="8"/>
      <c r="D23" s="46"/>
      <c r="E23" s="12"/>
      <c r="F23" s="1"/>
      <c r="G23" s="1"/>
      <c r="H23" s="37"/>
      <c r="I23" s="37"/>
    </row>
    <row r="24" spans="1:9" ht="15">
      <c r="A24" s="40" t="s">
        <v>69</v>
      </c>
      <c r="B24" s="7" t="s">
        <v>23</v>
      </c>
      <c r="C24" s="8"/>
      <c r="D24" s="46"/>
      <c r="E24" s="12"/>
      <c r="F24" s="1"/>
      <c r="G24" s="1"/>
      <c r="H24" s="37"/>
      <c r="I24" s="37"/>
    </row>
    <row r="25" spans="1:9" ht="15">
      <c r="A25" s="40" t="s">
        <v>70</v>
      </c>
      <c r="B25" s="7" t="s">
        <v>24</v>
      </c>
      <c r="C25" s="8">
        <v>1307.12</v>
      </c>
      <c r="D25" s="46"/>
      <c r="E25" s="12"/>
      <c r="F25" s="1"/>
      <c r="G25" s="1"/>
      <c r="H25" s="37"/>
      <c r="I25" s="37"/>
    </row>
    <row r="26" spans="1:9" ht="15">
      <c r="A26" s="40" t="s">
        <v>71</v>
      </c>
      <c r="B26" s="7" t="s">
        <v>25</v>
      </c>
      <c r="C26" s="8">
        <v>980.32</v>
      </c>
      <c r="D26" s="46"/>
      <c r="E26" s="12"/>
      <c r="F26" s="1"/>
      <c r="G26" s="1"/>
      <c r="H26" s="37"/>
      <c r="I26" s="37"/>
    </row>
    <row r="27" spans="1:9" ht="15">
      <c r="A27" s="40" t="s">
        <v>72</v>
      </c>
      <c r="B27" s="7" t="s">
        <v>26</v>
      </c>
      <c r="C27" s="8"/>
      <c r="D27" s="46"/>
      <c r="E27" s="12"/>
      <c r="F27" s="1"/>
      <c r="G27" s="1"/>
      <c r="H27" s="37"/>
      <c r="I27" s="37"/>
    </row>
    <row r="28" spans="1:9" ht="15">
      <c r="A28" s="40" t="s">
        <v>73</v>
      </c>
      <c r="B28" s="7" t="s">
        <v>27</v>
      </c>
      <c r="C28" s="8"/>
      <c r="D28" s="46"/>
      <c r="E28" s="12"/>
      <c r="F28" s="1"/>
      <c r="G28" s="1"/>
      <c r="H28" s="37"/>
      <c r="I28" s="37"/>
    </row>
    <row r="29" spans="1:9" ht="15">
      <c r="A29" s="40" t="s">
        <v>74</v>
      </c>
      <c r="B29" s="7" t="s">
        <v>28</v>
      </c>
      <c r="C29" s="8">
        <v>1960.62</v>
      </c>
      <c r="D29" s="46"/>
      <c r="E29" s="12"/>
      <c r="F29" s="1"/>
      <c r="G29" s="1"/>
      <c r="H29" s="37"/>
      <c r="I29" s="37"/>
    </row>
    <row r="30" spans="1:9" ht="15">
      <c r="A30" s="40" t="s">
        <v>75</v>
      </c>
      <c r="B30" s="7" t="s">
        <v>29</v>
      </c>
      <c r="C30" s="8"/>
      <c r="D30" s="46"/>
      <c r="E30" s="12"/>
      <c r="F30" s="1"/>
      <c r="G30" s="1"/>
      <c r="H30" s="37"/>
      <c r="I30" s="37"/>
    </row>
    <row r="31" spans="1:9" ht="15">
      <c r="A31" s="40" t="s">
        <v>76</v>
      </c>
      <c r="B31" s="7" t="s">
        <v>30</v>
      </c>
      <c r="C31" s="8"/>
      <c r="D31" s="46"/>
      <c r="E31" s="12"/>
      <c r="F31" s="1"/>
      <c r="G31" s="1"/>
      <c r="H31" s="37"/>
      <c r="I31" s="37"/>
    </row>
    <row r="32" spans="1:9" ht="15">
      <c r="A32" s="40" t="s">
        <v>77</v>
      </c>
      <c r="B32" s="7" t="s">
        <v>31</v>
      </c>
      <c r="C32" s="8">
        <v>326.78</v>
      </c>
      <c r="D32" s="46"/>
      <c r="E32" s="12"/>
      <c r="F32" s="1"/>
      <c r="G32" s="1"/>
      <c r="H32" s="37"/>
      <c r="I32" s="37"/>
    </row>
    <row r="33" spans="1:9" ht="15">
      <c r="A33" s="40" t="s">
        <v>78</v>
      </c>
      <c r="B33" s="7" t="s">
        <v>32</v>
      </c>
      <c r="C33" s="8">
        <v>1307.12</v>
      </c>
      <c r="D33" s="46"/>
      <c r="E33" s="12"/>
      <c r="F33" s="1"/>
      <c r="G33" s="1"/>
      <c r="H33" s="37"/>
      <c r="I33" s="37"/>
    </row>
    <row r="34" spans="1:9" ht="15">
      <c r="A34" s="40" t="s">
        <v>80</v>
      </c>
      <c r="B34" s="7" t="s">
        <v>33</v>
      </c>
      <c r="C34" s="8">
        <v>980.34</v>
      </c>
      <c r="D34" s="46"/>
      <c r="E34" s="12"/>
      <c r="F34" s="1"/>
      <c r="G34" s="1"/>
      <c r="H34" s="37"/>
      <c r="I34" s="37"/>
    </row>
    <row r="35" spans="1:9" ht="15">
      <c r="A35" s="40" t="s">
        <v>81</v>
      </c>
      <c r="B35" s="7" t="s">
        <v>34</v>
      </c>
      <c r="C35" s="8"/>
      <c r="D35" s="46"/>
      <c r="E35" s="12"/>
      <c r="F35" s="1"/>
      <c r="G35" s="1"/>
      <c r="H35" s="37"/>
      <c r="I35" s="37"/>
    </row>
    <row r="36" spans="1:9" ht="15">
      <c r="A36" s="40" t="s">
        <v>82</v>
      </c>
      <c r="B36" s="7" t="s">
        <v>87</v>
      </c>
      <c r="C36" s="8"/>
      <c r="D36" s="46"/>
      <c r="E36" s="12"/>
      <c r="F36" s="1"/>
      <c r="G36" s="1"/>
      <c r="H36" s="37"/>
      <c r="I36" s="37"/>
    </row>
    <row r="37" spans="1:9" ht="15">
      <c r="A37" s="40" t="s">
        <v>83</v>
      </c>
      <c r="B37" s="7" t="s">
        <v>89</v>
      </c>
      <c r="C37" s="8">
        <v>980.34</v>
      </c>
      <c r="D37" s="46"/>
      <c r="E37" s="12"/>
      <c r="F37" s="1"/>
      <c r="G37" s="1"/>
      <c r="H37" s="37"/>
      <c r="I37" s="37"/>
    </row>
    <row r="38" spans="1:9" ht="15">
      <c r="A38" s="40" t="s">
        <v>84</v>
      </c>
      <c r="B38" s="7" t="s">
        <v>90</v>
      </c>
      <c r="C38" s="8">
        <v>653.56</v>
      </c>
      <c r="D38" s="46"/>
      <c r="E38" s="12"/>
      <c r="F38" s="1"/>
      <c r="G38" s="1"/>
      <c r="H38" s="37"/>
      <c r="I38" s="37"/>
    </row>
    <row r="39" spans="1:9" ht="15">
      <c r="A39" s="40" t="s">
        <v>85</v>
      </c>
      <c r="B39" s="7" t="s">
        <v>93</v>
      </c>
      <c r="C39" s="8"/>
      <c r="D39" s="46"/>
      <c r="E39" s="12"/>
      <c r="F39" s="1"/>
      <c r="G39" s="1"/>
      <c r="H39" s="37"/>
      <c r="I39" s="37"/>
    </row>
    <row r="40" spans="1:9" ht="15">
      <c r="A40" s="40" t="s">
        <v>86</v>
      </c>
      <c r="B40" s="56" t="s">
        <v>94</v>
      </c>
      <c r="C40" s="8">
        <v>326.78</v>
      </c>
      <c r="D40" s="46"/>
      <c r="E40" s="12"/>
      <c r="F40" s="1"/>
      <c r="G40" s="1"/>
      <c r="H40" s="37"/>
      <c r="I40" s="37"/>
    </row>
    <row r="41" spans="1:9" ht="15">
      <c r="A41" s="40" t="s">
        <v>91</v>
      </c>
      <c r="B41" s="56" t="s">
        <v>98</v>
      </c>
      <c r="C41" s="8"/>
      <c r="D41" s="46"/>
      <c r="E41" s="12"/>
      <c r="F41" s="1"/>
      <c r="G41" s="1"/>
      <c r="H41" s="37"/>
      <c r="I41" s="37"/>
    </row>
    <row r="42" spans="1:9" ht="15">
      <c r="A42" s="40" t="s">
        <v>115</v>
      </c>
      <c r="B42" s="7" t="s">
        <v>113</v>
      </c>
      <c r="C42" s="8"/>
      <c r="D42" s="46"/>
      <c r="E42" s="12"/>
      <c r="F42" s="1"/>
      <c r="G42" s="1"/>
      <c r="H42" s="37"/>
      <c r="I42" s="37"/>
    </row>
    <row r="43" spans="1:9" ht="15.75" thickBot="1">
      <c r="A43" s="40" t="s">
        <v>116</v>
      </c>
      <c r="B43" s="7" t="s">
        <v>114</v>
      </c>
      <c r="C43" s="8"/>
      <c r="D43" s="46"/>
      <c r="E43" s="12"/>
      <c r="F43" s="1"/>
      <c r="G43" s="1"/>
      <c r="H43" s="37"/>
      <c r="I43" s="37"/>
    </row>
    <row r="44" spans="1:9" ht="15.75" thickBot="1">
      <c r="A44" s="54"/>
      <c r="B44" s="55" t="s">
        <v>35</v>
      </c>
      <c r="C44" s="93">
        <f>SUM(C6:C41)</f>
        <v>16338.919999999998</v>
      </c>
      <c r="D44" s="12"/>
      <c r="E44" s="12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9"/>
      <c r="D46" s="1"/>
      <c r="E46" s="1"/>
      <c r="F46" s="1"/>
      <c r="G46" s="1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6"/>
  <sheetViews>
    <sheetView workbookViewId="0" topLeftCell="A19">
      <selection activeCell="D21" sqref="D21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6" ht="15">
      <c r="A3" s="81" t="s">
        <v>127</v>
      </c>
      <c r="B3" s="81"/>
      <c r="C3" s="81"/>
      <c r="D3" s="81"/>
      <c r="E3" s="81"/>
      <c r="F3" s="81"/>
    </row>
    <row r="4" spans="1:6" ht="14.25">
      <c r="A4" s="99"/>
      <c r="B4" s="99"/>
      <c r="C4" s="99"/>
      <c r="D4" s="43"/>
      <c r="E4" s="37"/>
      <c r="F4" s="37"/>
    </row>
    <row r="5" spans="1:6" ht="45">
      <c r="A5" s="49" t="s">
        <v>0</v>
      </c>
      <c r="B5" s="49" t="s">
        <v>1</v>
      </c>
      <c r="C5" s="51" t="s">
        <v>96</v>
      </c>
      <c r="D5" s="51" t="s">
        <v>97</v>
      </c>
      <c r="E5" s="37"/>
      <c r="F5" s="37"/>
    </row>
    <row r="6" spans="1:12" ht="15">
      <c r="A6" s="40" t="s">
        <v>79</v>
      </c>
      <c r="B6" s="7" t="s">
        <v>6</v>
      </c>
      <c r="C6" s="8"/>
      <c r="D6" s="6"/>
      <c r="E6" s="37"/>
      <c r="F6" s="37"/>
      <c r="G6" s="3"/>
      <c r="H6" s="3"/>
      <c r="I6" s="3"/>
      <c r="J6" s="3"/>
      <c r="K6" s="3"/>
      <c r="L6" s="3"/>
    </row>
    <row r="7" spans="1:12" ht="15">
      <c r="A7" s="40" t="s">
        <v>52</v>
      </c>
      <c r="B7" s="7" t="s">
        <v>39</v>
      </c>
      <c r="C7" s="47"/>
      <c r="D7" s="6"/>
      <c r="E7" s="37"/>
      <c r="F7" s="37"/>
      <c r="G7" s="3"/>
      <c r="H7" s="3"/>
      <c r="I7" s="3"/>
      <c r="J7" s="3"/>
      <c r="K7" s="3"/>
      <c r="L7" s="3"/>
    </row>
    <row r="8" spans="1:12" ht="15">
      <c r="A8" s="40" t="s">
        <v>53</v>
      </c>
      <c r="B8" s="7" t="s">
        <v>8</v>
      </c>
      <c r="C8" s="8"/>
      <c r="D8" s="6"/>
      <c r="E8" s="37"/>
      <c r="F8" s="37"/>
      <c r="G8" s="3"/>
      <c r="H8" s="3"/>
      <c r="I8" s="3"/>
      <c r="J8" s="3"/>
      <c r="K8" s="3"/>
      <c r="L8" s="3"/>
    </row>
    <row r="9" spans="1:12" ht="15">
      <c r="A9" s="40" t="s">
        <v>54</v>
      </c>
      <c r="B9" s="7" t="s">
        <v>9</v>
      </c>
      <c r="C9" s="8"/>
      <c r="D9" s="6"/>
      <c r="E9" s="37"/>
      <c r="F9" s="37"/>
      <c r="G9" s="3"/>
      <c r="H9" s="3"/>
      <c r="I9" s="3"/>
      <c r="J9" s="3"/>
      <c r="K9" s="3"/>
      <c r="L9" s="3"/>
    </row>
    <row r="10" spans="1:12" ht="15">
      <c r="A10" s="40" t="s">
        <v>55</v>
      </c>
      <c r="B10" s="7" t="s">
        <v>10</v>
      </c>
      <c r="C10" s="8"/>
      <c r="D10" s="6"/>
      <c r="E10" s="37"/>
      <c r="F10" s="37"/>
      <c r="G10" s="3"/>
      <c r="H10" s="3"/>
      <c r="I10" s="3"/>
      <c r="J10" s="3"/>
      <c r="K10" s="3"/>
      <c r="L10" s="3"/>
    </row>
    <row r="11" spans="1:12" ht="15">
      <c r="A11" s="40" t="s">
        <v>56</v>
      </c>
      <c r="B11" s="7" t="s">
        <v>11</v>
      </c>
      <c r="C11" s="8"/>
      <c r="D11" s="6"/>
      <c r="E11" s="37"/>
      <c r="F11" s="37"/>
      <c r="G11" s="3"/>
      <c r="H11" s="3"/>
      <c r="I11" s="3"/>
      <c r="J11" s="3"/>
      <c r="K11" s="3"/>
      <c r="L11" s="3"/>
    </row>
    <row r="12" spans="1:12" ht="15">
      <c r="A12" s="40" t="s">
        <v>57</v>
      </c>
      <c r="B12" s="7" t="s">
        <v>12</v>
      </c>
      <c r="C12" s="8"/>
      <c r="D12" s="6"/>
      <c r="E12" s="37"/>
      <c r="F12" s="37"/>
      <c r="G12" s="3"/>
      <c r="H12" s="3"/>
      <c r="I12" s="3"/>
      <c r="J12" s="3"/>
      <c r="K12" s="3"/>
      <c r="L12" s="3"/>
    </row>
    <row r="13" spans="1:12" ht="15">
      <c r="A13" s="40" t="s">
        <v>58</v>
      </c>
      <c r="B13" s="7" t="s">
        <v>13</v>
      </c>
      <c r="C13" s="8"/>
      <c r="D13" s="6"/>
      <c r="E13" s="37"/>
      <c r="F13" s="37"/>
      <c r="G13" s="3"/>
      <c r="H13" s="3"/>
      <c r="I13" s="3"/>
      <c r="J13" s="3"/>
      <c r="K13" s="3"/>
      <c r="L13" s="3"/>
    </row>
    <row r="14" spans="1:12" ht="15">
      <c r="A14" s="40" t="s">
        <v>59</v>
      </c>
      <c r="B14" s="7" t="s">
        <v>112</v>
      </c>
      <c r="C14" s="8"/>
      <c r="D14" s="7"/>
      <c r="E14" s="37"/>
      <c r="F14" s="37"/>
      <c r="G14" s="3"/>
      <c r="H14" s="3"/>
      <c r="I14" s="3"/>
      <c r="J14" s="3"/>
      <c r="K14" s="3"/>
      <c r="L14" s="3"/>
    </row>
    <row r="15" spans="1:12" ht="15">
      <c r="A15" s="40" t="s">
        <v>60</v>
      </c>
      <c r="B15" s="7" t="s">
        <v>14</v>
      </c>
      <c r="C15" s="8"/>
      <c r="D15" s="6"/>
      <c r="E15" s="37"/>
      <c r="F15" s="37"/>
      <c r="G15" s="3"/>
      <c r="H15" s="3"/>
      <c r="I15" s="3"/>
      <c r="J15" s="3"/>
      <c r="K15" s="3"/>
      <c r="L15" s="3"/>
    </row>
    <row r="16" spans="1:12" ht="15">
      <c r="A16" s="40" t="s">
        <v>61</v>
      </c>
      <c r="B16" s="7" t="s">
        <v>15</v>
      </c>
      <c r="C16" s="8">
        <v>2866.47</v>
      </c>
      <c r="D16" s="6"/>
      <c r="E16" s="37"/>
      <c r="F16" s="37"/>
      <c r="G16" s="3"/>
      <c r="H16" s="3"/>
      <c r="I16" s="3"/>
      <c r="J16" s="3"/>
      <c r="K16" s="3"/>
      <c r="L16" s="3"/>
    </row>
    <row r="17" spans="1:12" ht="15">
      <c r="A17" s="40" t="s">
        <v>62</v>
      </c>
      <c r="B17" s="7" t="s">
        <v>40</v>
      </c>
      <c r="C17" s="8"/>
      <c r="D17" s="6"/>
      <c r="E17" s="37"/>
      <c r="F17" s="37"/>
      <c r="G17" s="3"/>
      <c r="H17" s="3"/>
      <c r="I17" s="3"/>
      <c r="J17" s="3"/>
      <c r="K17" s="3"/>
      <c r="L17" s="3"/>
    </row>
    <row r="18" spans="1:12" ht="15">
      <c r="A18" s="40" t="s">
        <v>63</v>
      </c>
      <c r="B18" s="7" t="s">
        <v>17</v>
      </c>
      <c r="C18" s="8"/>
      <c r="D18" s="6"/>
      <c r="E18" s="37"/>
      <c r="F18" s="37"/>
      <c r="G18" s="3"/>
      <c r="H18" s="3"/>
      <c r="I18" s="3"/>
      <c r="J18" s="3"/>
      <c r="K18" s="3"/>
      <c r="L18" s="3"/>
    </row>
    <row r="19" spans="1:12" ht="15">
      <c r="A19" s="40" t="s">
        <v>64</v>
      </c>
      <c r="B19" s="7" t="s">
        <v>18</v>
      </c>
      <c r="C19" s="8"/>
      <c r="D19" s="6"/>
      <c r="E19" s="37"/>
      <c r="F19" s="37"/>
      <c r="G19" s="3"/>
      <c r="H19" s="3"/>
      <c r="I19" s="3"/>
      <c r="J19" s="3"/>
      <c r="K19" s="3"/>
      <c r="L19" s="3"/>
    </row>
    <row r="20" spans="1:12" ht="15">
      <c r="A20" s="40" t="s">
        <v>65</v>
      </c>
      <c r="B20" s="7" t="s">
        <v>19</v>
      </c>
      <c r="C20" s="8">
        <v>6856.2</v>
      </c>
      <c r="D20" s="7">
        <v>12011.67</v>
      </c>
      <c r="E20" s="37"/>
      <c r="F20" s="37"/>
      <c r="G20" s="3"/>
      <c r="H20" s="3"/>
      <c r="I20" s="3"/>
      <c r="J20" s="3"/>
      <c r="K20" s="3"/>
      <c r="L20" s="3"/>
    </row>
    <row r="21" spans="1:12" ht="15">
      <c r="A21" s="40" t="s">
        <v>66</v>
      </c>
      <c r="B21" s="7" t="s">
        <v>20</v>
      </c>
      <c r="C21" s="8"/>
      <c r="D21" s="6"/>
      <c r="E21" s="37"/>
      <c r="F21" s="37"/>
      <c r="G21" s="3"/>
      <c r="H21" s="3"/>
      <c r="I21" s="3"/>
      <c r="J21" s="3"/>
      <c r="K21" s="3"/>
      <c r="L21" s="3"/>
    </row>
    <row r="22" spans="1:12" ht="15">
      <c r="A22" s="40" t="s">
        <v>67</v>
      </c>
      <c r="B22" s="7" t="s">
        <v>21</v>
      </c>
      <c r="C22" s="8"/>
      <c r="D22" s="6"/>
      <c r="E22" s="37"/>
      <c r="F22" s="37"/>
      <c r="G22" s="3"/>
      <c r="H22" s="3"/>
      <c r="I22" s="3"/>
      <c r="J22" s="3"/>
      <c r="K22" s="3"/>
      <c r="L22" s="3"/>
    </row>
    <row r="23" spans="1:12" ht="15">
      <c r="A23" s="40" t="s">
        <v>68</v>
      </c>
      <c r="B23" s="7" t="s">
        <v>22</v>
      </c>
      <c r="C23" s="8"/>
      <c r="D23" s="6"/>
      <c r="E23" s="37"/>
      <c r="F23" s="37"/>
      <c r="G23" s="3"/>
      <c r="H23" s="3"/>
      <c r="I23" s="3"/>
      <c r="J23" s="3"/>
      <c r="K23" s="3"/>
      <c r="L23" s="3"/>
    </row>
    <row r="24" spans="1:12" ht="15">
      <c r="A24" s="40" t="s">
        <v>69</v>
      </c>
      <c r="B24" s="7" t="s">
        <v>23</v>
      </c>
      <c r="C24" s="8"/>
      <c r="D24" s="6"/>
      <c r="E24" s="37"/>
      <c r="F24" s="37"/>
      <c r="G24" s="3"/>
      <c r="H24" s="3"/>
      <c r="I24" s="3"/>
      <c r="J24" s="3"/>
      <c r="K24" s="3"/>
      <c r="L24" s="3"/>
    </row>
    <row r="25" spans="1:12" ht="15">
      <c r="A25" s="40" t="s">
        <v>70</v>
      </c>
      <c r="B25" s="7" t="s">
        <v>24</v>
      </c>
      <c r="C25" s="8"/>
      <c r="D25" s="6"/>
      <c r="E25" s="37"/>
      <c r="F25" s="37"/>
      <c r="G25" s="3"/>
      <c r="H25" s="3"/>
      <c r="I25" s="3"/>
      <c r="J25" s="3"/>
      <c r="K25" s="3"/>
      <c r="L25" s="3"/>
    </row>
    <row r="26" spans="1:12" ht="15">
      <c r="A26" s="40" t="s">
        <v>71</v>
      </c>
      <c r="B26" s="7" t="s">
        <v>25</v>
      </c>
      <c r="C26" s="8"/>
      <c r="D26" s="7"/>
      <c r="E26" s="37"/>
      <c r="F26" s="37"/>
      <c r="G26" s="3"/>
      <c r="H26" s="3"/>
      <c r="I26" s="3"/>
      <c r="J26" s="3"/>
      <c r="K26" s="3"/>
      <c r="L26" s="3"/>
    </row>
    <row r="27" spans="1:12" ht="15">
      <c r="A27" s="40" t="s">
        <v>72</v>
      </c>
      <c r="B27" s="7" t="s">
        <v>26</v>
      </c>
      <c r="C27" s="8"/>
      <c r="D27" s="6"/>
      <c r="E27" s="37"/>
      <c r="F27" s="37"/>
      <c r="G27" s="3"/>
      <c r="H27" s="3"/>
      <c r="I27" s="3"/>
      <c r="J27" s="3"/>
      <c r="K27" s="3"/>
      <c r="L27" s="3"/>
    </row>
    <row r="28" spans="1:12" ht="15">
      <c r="A28" s="40" t="s">
        <v>73</v>
      </c>
      <c r="B28" s="7" t="s">
        <v>27</v>
      </c>
      <c r="C28" s="8"/>
      <c r="D28" s="6"/>
      <c r="E28" s="37"/>
      <c r="F28" s="37"/>
      <c r="G28" s="3"/>
      <c r="H28" s="3"/>
      <c r="I28" s="3"/>
      <c r="J28" s="3"/>
      <c r="K28" s="3"/>
      <c r="L28" s="3"/>
    </row>
    <row r="29" spans="1:12" ht="15">
      <c r="A29" s="40" t="s">
        <v>74</v>
      </c>
      <c r="B29" s="7" t="s">
        <v>28</v>
      </c>
      <c r="C29" s="8">
        <v>337.68</v>
      </c>
      <c r="D29" s="7"/>
      <c r="E29" s="37"/>
      <c r="F29" s="37"/>
      <c r="G29" s="3"/>
      <c r="H29" s="3"/>
      <c r="I29" s="3"/>
      <c r="J29" s="3"/>
      <c r="K29" s="3"/>
      <c r="L29" s="3"/>
    </row>
    <row r="30" spans="1:12" ht="15">
      <c r="A30" s="40" t="s">
        <v>75</v>
      </c>
      <c r="B30" s="7" t="s">
        <v>29</v>
      </c>
      <c r="C30" s="8"/>
      <c r="D30" s="6"/>
      <c r="E30" s="37"/>
      <c r="F30" s="37"/>
      <c r="G30" s="3"/>
      <c r="H30" s="3"/>
      <c r="I30" s="3"/>
      <c r="J30" s="3"/>
      <c r="K30" s="3"/>
      <c r="L30" s="3"/>
    </row>
    <row r="31" spans="1:12" ht="15">
      <c r="A31" s="40" t="s">
        <v>76</v>
      </c>
      <c r="B31" s="7" t="s">
        <v>30</v>
      </c>
      <c r="C31" s="8"/>
      <c r="D31" s="6"/>
      <c r="E31" s="37"/>
      <c r="F31" s="37"/>
      <c r="G31" s="3"/>
      <c r="H31" s="3"/>
      <c r="I31" s="3"/>
      <c r="J31" s="3"/>
      <c r="K31" s="3"/>
      <c r="L31" s="3"/>
    </row>
    <row r="32" spans="1:12" ht="15">
      <c r="A32" s="40" t="s">
        <v>77</v>
      </c>
      <c r="B32" s="7" t="s">
        <v>31</v>
      </c>
      <c r="C32" s="8"/>
      <c r="D32" s="6"/>
      <c r="E32" s="37"/>
      <c r="F32" s="37"/>
      <c r="G32" s="3"/>
      <c r="H32" s="3"/>
      <c r="I32" s="3"/>
      <c r="J32" s="3"/>
      <c r="K32" s="3"/>
      <c r="L32" s="3"/>
    </row>
    <row r="33" spans="1:12" ht="15">
      <c r="A33" s="40" t="s">
        <v>78</v>
      </c>
      <c r="B33" s="7" t="s">
        <v>32</v>
      </c>
      <c r="C33" s="8"/>
      <c r="D33" s="7"/>
      <c r="E33" s="37"/>
      <c r="F33" s="37"/>
      <c r="G33" s="3"/>
      <c r="H33" s="3"/>
      <c r="I33" s="3"/>
      <c r="J33" s="3"/>
      <c r="K33" s="3"/>
      <c r="L33" s="3"/>
    </row>
    <row r="34" spans="1:12" ht="15">
      <c r="A34" s="40" t="s">
        <v>80</v>
      </c>
      <c r="B34" s="7" t="s">
        <v>33</v>
      </c>
      <c r="C34" s="8"/>
      <c r="D34" s="6"/>
      <c r="E34" s="37"/>
      <c r="F34" s="37"/>
      <c r="G34" s="3"/>
      <c r="H34" s="3"/>
      <c r="I34" s="3"/>
      <c r="J34" s="3"/>
      <c r="K34" s="3"/>
      <c r="L34" s="3"/>
    </row>
    <row r="35" spans="1:12" ht="15">
      <c r="A35" s="40" t="s">
        <v>81</v>
      </c>
      <c r="B35" s="7" t="s">
        <v>34</v>
      </c>
      <c r="C35" s="8"/>
      <c r="D35" s="6"/>
      <c r="E35" s="37"/>
      <c r="F35" s="37"/>
      <c r="G35" s="3"/>
      <c r="H35" s="3"/>
      <c r="I35" s="3"/>
      <c r="J35" s="3"/>
      <c r="K35" s="3"/>
      <c r="L35" s="3"/>
    </row>
    <row r="36" spans="1:12" ht="15">
      <c r="A36" s="40" t="s">
        <v>82</v>
      </c>
      <c r="B36" s="7" t="s">
        <v>87</v>
      </c>
      <c r="C36" s="8"/>
      <c r="D36" s="6"/>
      <c r="E36" s="37"/>
      <c r="F36" s="37"/>
      <c r="G36" s="3"/>
      <c r="H36" s="3"/>
      <c r="I36" s="3"/>
      <c r="J36" s="3"/>
      <c r="K36" s="3"/>
      <c r="L36" s="3"/>
    </row>
    <row r="37" spans="1:12" ht="15">
      <c r="A37" s="40" t="s">
        <v>83</v>
      </c>
      <c r="B37" s="7" t="s">
        <v>89</v>
      </c>
      <c r="C37" s="8"/>
      <c r="D37" s="7"/>
      <c r="E37" s="37"/>
      <c r="F37" s="37"/>
      <c r="G37" s="3"/>
      <c r="H37" s="3"/>
      <c r="I37" s="3"/>
      <c r="J37" s="3"/>
      <c r="K37" s="3"/>
      <c r="L37" s="3"/>
    </row>
    <row r="38" spans="1:12" ht="15">
      <c r="A38" s="40" t="s">
        <v>84</v>
      </c>
      <c r="B38" s="7" t="s">
        <v>90</v>
      </c>
      <c r="C38" s="47"/>
      <c r="D38" s="6"/>
      <c r="E38" s="37"/>
      <c r="F38" s="37"/>
      <c r="G38" s="3"/>
      <c r="H38" s="3"/>
      <c r="I38" s="3"/>
      <c r="J38" s="3"/>
      <c r="K38" s="3"/>
      <c r="L38" s="3"/>
    </row>
    <row r="39" spans="1:12" ht="15">
      <c r="A39" s="40" t="s">
        <v>85</v>
      </c>
      <c r="B39" s="7" t="s">
        <v>93</v>
      </c>
      <c r="C39" s="47"/>
      <c r="D39" s="6"/>
      <c r="E39" s="37"/>
      <c r="F39" s="37"/>
      <c r="G39" s="3"/>
      <c r="H39" s="3"/>
      <c r="I39" s="3"/>
      <c r="J39" s="3"/>
      <c r="K39" s="3"/>
      <c r="L39" s="3"/>
    </row>
    <row r="40" spans="1:12" ht="15">
      <c r="A40" s="40" t="s">
        <v>86</v>
      </c>
      <c r="B40" s="7" t="s">
        <v>94</v>
      </c>
      <c r="C40" s="47"/>
      <c r="D40" s="6"/>
      <c r="E40" s="37"/>
      <c r="F40" s="37"/>
      <c r="G40" s="3"/>
      <c r="H40" s="3"/>
      <c r="I40" s="3"/>
      <c r="J40" s="3"/>
      <c r="K40" s="3"/>
      <c r="L40" s="3"/>
    </row>
    <row r="41" spans="1:12" ht="15">
      <c r="A41" s="40" t="s">
        <v>91</v>
      </c>
      <c r="B41" s="7" t="s">
        <v>98</v>
      </c>
      <c r="C41" s="47"/>
      <c r="D41" s="6"/>
      <c r="E41" s="37"/>
      <c r="F41" s="37"/>
      <c r="G41" s="3"/>
      <c r="H41" s="3"/>
      <c r="I41" s="3"/>
      <c r="J41" s="3"/>
      <c r="K41" s="3"/>
      <c r="L41" s="3"/>
    </row>
    <row r="42" spans="1:12" ht="15">
      <c r="A42" s="40" t="s">
        <v>115</v>
      </c>
      <c r="B42" s="7" t="s">
        <v>113</v>
      </c>
      <c r="C42" s="47"/>
      <c r="D42" s="6"/>
      <c r="E42" s="37"/>
      <c r="F42" s="37"/>
      <c r="G42" s="3"/>
      <c r="H42" s="3"/>
      <c r="I42" s="3"/>
      <c r="J42" s="3"/>
      <c r="K42" s="3"/>
      <c r="L42" s="3"/>
    </row>
    <row r="43" spans="1:12" ht="15.75" thickBot="1">
      <c r="A43" s="40" t="s">
        <v>116</v>
      </c>
      <c r="B43" s="7" t="s">
        <v>114</v>
      </c>
      <c r="C43" s="47"/>
      <c r="D43" s="6"/>
      <c r="E43" s="37"/>
      <c r="F43" s="37"/>
      <c r="G43" s="3"/>
      <c r="H43" s="3"/>
      <c r="I43" s="3"/>
      <c r="J43" s="3"/>
      <c r="K43" s="3"/>
      <c r="L43" s="3"/>
    </row>
    <row r="44" spans="1:12" ht="15.75" thickBot="1">
      <c r="A44" s="66"/>
      <c r="B44" s="67" t="s">
        <v>35</v>
      </c>
      <c r="C44" s="94">
        <f>SUM(C6:C41)</f>
        <v>10060.35</v>
      </c>
      <c r="D44" s="93">
        <f>SUM(D6:D41)</f>
        <v>12011.67</v>
      </c>
      <c r="E44" s="37"/>
      <c r="F44" s="37"/>
      <c r="G44" s="3"/>
      <c r="H44" s="3"/>
      <c r="I44" s="3"/>
      <c r="J44" s="3"/>
      <c r="K44" s="3"/>
      <c r="L44" s="3"/>
    </row>
    <row r="45" spans="1:12" ht="14.25">
      <c r="A45" s="37"/>
      <c r="B45" s="37"/>
      <c r="C45" s="37"/>
      <c r="D45" s="1"/>
      <c r="E45" s="37"/>
      <c r="F45" s="37"/>
      <c r="G45" s="3"/>
      <c r="H45" s="3"/>
      <c r="I45" s="3"/>
      <c r="J45" s="3"/>
      <c r="K45" s="3"/>
      <c r="L45" s="3"/>
    </row>
    <row r="46" spans="1:6" ht="14.25">
      <c r="A46" s="37"/>
      <c r="B46" s="37"/>
      <c r="C46" s="37"/>
      <c r="D46" s="37"/>
      <c r="E46" s="37"/>
      <c r="F46" s="37"/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6"/>
  <sheetViews>
    <sheetView workbookViewId="0" topLeftCell="A7">
      <selection activeCell="D7" sqref="D7:D44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</cols>
  <sheetData>
    <row r="3" spans="1:6" ht="15">
      <c r="A3" s="96" t="s">
        <v>128</v>
      </c>
      <c r="B3" s="96"/>
      <c r="C3" s="96"/>
      <c r="D3" s="96"/>
      <c r="E3" s="96"/>
      <c r="F3" s="96"/>
    </row>
    <row r="4" spans="1:6" ht="15">
      <c r="A4" s="35"/>
      <c r="B4" s="36"/>
      <c r="C4" s="36"/>
      <c r="D4" s="35"/>
      <c r="E4" s="35"/>
      <c r="F4" s="35"/>
    </row>
    <row r="5" spans="1:6" ht="15" thickBot="1">
      <c r="A5" s="37"/>
      <c r="B5" s="37"/>
      <c r="C5" s="38"/>
      <c r="D5" s="37"/>
      <c r="E5" s="39"/>
      <c r="F5" s="37"/>
    </row>
    <row r="6" spans="1:6" ht="46.5" customHeight="1" thickBot="1">
      <c r="A6" s="62" t="s">
        <v>0</v>
      </c>
      <c r="B6" s="63" t="s">
        <v>1</v>
      </c>
      <c r="C6" s="64" t="s">
        <v>36</v>
      </c>
      <c r="D6" s="64" t="s">
        <v>37</v>
      </c>
      <c r="E6" s="65" t="s">
        <v>38</v>
      </c>
      <c r="F6" s="37"/>
    </row>
    <row r="7" spans="1:9" ht="15">
      <c r="A7" s="58" t="s">
        <v>79</v>
      </c>
      <c r="B7" s="59" t="s">
        <v>6</v>
      </c>
      <c r="C7" s="60">
        <v>5866.51</v>
      </c>
      <c r="D7" s="60">
        <v>4697.25</v>
      </c>
      <c r="E7" s="61">
        <f>C7+D7</f>
        <v>10563.76</v>
      </c>
      <c r="F7" s="37"/>
      <c r="H7" s="3"/>
      <c r="I7" s="3"/>
    </row>
    <row r="8" spans="1:8" ht="15">
      <c r="A8" s="40" t="s">
        <v>52</v>
      </c>
      <c r="B8" s="7" t="s">
        <v>39</v>
      </c>
      <c r="C8" s="6">
        <v>4185.39</v>
      </c>
      <c r="D8" s="6">
        <v>3348.72</v>
      </c>
      <c r="E8" s="61">
        <f aca="true" t="shared" si="0" ref="E8:E44">C8+D8</f>
        <v>7534.110000000001</v>
      </c>
      <c r="F8" s="37"/>
      <c r="H8" s="3"/>
    </row>
    <row r="9" spans="1:8" ht="15">
      <c r="A9" s="58" t="s">
        <v>53</v>
      </c>
      <c r="B9" s="7" t="s">
        <v>8</v>
      </c>
      <c r="C9" s="1">
        <v>3656.93</v>
      </c>
      <c r="D9" s="6">
        <v>2925.74</v>
      </c>
      <c r="E9" s="61">
        <f t="shared" si="0"/>
        <v>6582.67</v>
      </c>
      <c r="F9" s="37"/>
      <c r="H9" s="3"/>
    </row>
    <row r="10" spans="1:8" ht="15">
      <c r="A10" s="40" t="s">
        <v>54</v>
      </c>
      <c r="B10" s="7" t="s">
        <v>9</v>
      </c>
      <c r="C10" s="6">
        <v>0</v>
      </c>
      <c r="D10" s="6">
        <v>0</v>
      </c>
      <c r="E10" s="61">
        <f t="shared" si="0"/>
        <v>0</v>
      </c>
      <c r="F10" s="37"/>
      <c r="H10" s="3"/>
    </row>
    <row r="11" spans="1:8" ht="15">
      <c r="A11" s="58" t="s">
        <v>55</v>
      </c>
      <c r="B11" s="7" t="s">
        <v>10</v>
      </c>
      <c r="C11" s="6">
        <v>5076.83</v>
      </c>
      <c r="D11" s="6">
        <v>4054.2</v>
      </c>
      <c r="E11" s="61">
        <f t="shared" si="0"/>
        <v>9131.029999999999</v>
      </c>
      <c r="F11" s="37"/>
      <c r="H11" s="3"/>
    </row>
    <row r="12" spans="1:8" ht="15">
      <c r="A12" s="40" t="s">
        <v>56</v>
      </c>
      <c r="B12" s="7" t="s">
        <v>11</v>
      </c>
      <c r="C12" s="6">
        <v>1710.95</v>
      </c>
      <c r="D12" s="6">
        <v>1368.76</v>
      </c>
      <c r="E12" s="61">
        <f t="shared" si="0"/>
        <v>3079.71</v>
      </c>
      <c r="F12" s="37"/>
      <c r="H12" s="3"/>
    </row>
    <row r="13" spans="1:8" ht="15">
      <c r="A13" s="58" t="s">
        <v>57</v>
      </c>
      <c r="B13" s="7" t="s">
        <v>12</v>
      </c>
      <c r="C13" s="6">
        <v>0</v>
      </c>
      <c r="D13" s="6">
        <v>0</v>
      </c>
      <c r="E13" s="61">
        <f t="shared" si="0"/>
        <v>0</v>
      </c>
      <c r="F13" s="37"/>
      <c r="H13" s="3"/>
    </row>
    <row r="14" spans="1:8" ht="15">
      <c r="A14" s="40" t="s">
        <v>58</v>
      </c>
      <c r="B14" s="7" t="s">
        <v>13</v>
      </c>
      <c r="C14" s="6">
        <v>6696.6</v>
      </c>
      <c r="D14" s="6">
        <v>5357.35</v>
      </c>
      <c r="E14" s="61">
        <f t="shared" si="0"/>
        <v>12053.95</v>
      </c>
      <c r="F14" s="37"/>
      <c r="H14" s="3"/>
    </row>
    <row r="15" spans="1:8" ht="15">
      <c r="A15" s="58" t="s">
        <v>59</v>
      </c>
      <c r="B15" s="7" t="s">
        <v>112</v>
      </c>
      <c r="C15" s="6">
        <v>9309.53</v>
      </c>
      <c r="D15" s="6">
        <v>7448.35</v>
      </c>
      <c r="E15" s="61">
        <f t="shared" si="0"/>
        <v>16757.88</v>
      </c>
      <c r="F15" s="37"/>
      <c r="H15" s="3"/>
    </row>
    <row r="16" spans="1:8" ht="15">
      <c r="A16" s="40" t="s">
        <v>60</v>
      </c>
      <c r="B16" s="7" t="s">
        <v>14</v>
      </c>
      <c r="C16" s="6">
        <v>669.66</v>
      </c>
      <c r="D16" s="6">
        <v>535.75</v>
      </c>
      <c r="E16" s="61">
        <f t="shared" si="0"/>
        <v>1205.4099999999999</v>
      </c>
      <c r="F16" s="37"/>
      <c r="H16" s="3"/>
    </row>
    <row r="17" spans="1:8" ht="15">
      <c r="A17" s="58" t="s">
        <v>61</v>
      </c>
      <c r="B17" s="7" t="s">
        <v>15</v>
      </c>
      <c r="C17" s="6">
        <v>2932.53</v>
      </c>
      <c r="D17" s="6">
        <v>2346.12</v>
      </c>
      <c r="E17" s="61">
        <f t="shared" si="0"/>
        <v>5278.65</v>
      </c>
      <c r="F17" s="37"/>
      <c r="H17" s="3"/>
    </row>
    <row r="18" spans="1:8" ht="15">
      <c r="A18" s="40" t="s">
        <v>62</v>
      </c>
      <c r="B18" s="7" t="s">
        <v>40</v>
      </c>
      <c r="C18" s="6">
        <v>9866.7</v>
      </c>
      <c r="D18" s="6">
        <v>7894.3</v>
      </c>
      <c r="E18" s="61">
        <f t="shared" si="0"/>
        <v>17761</v>
      </c>
      <c r="F18" s="37"/>
      <c r="H18" s="3"/>
    </row>
    <row r="19" spans="1:8" ht="15">
      <c r="A19" s="58" t="s">
        <v>63</v>
      </c>
      <c r="B19" s="7" t="s">
        <v>17</v>
      </c>
      <c r="C19" s="6">
        <v>4554.69</v>
      </c>
      <c r="D19" s="6">
        <v>3643.88</v>
      </c>
      <c r="E19" s="61">
        <f t="shared" si="0"/>
        <v>8198.57</v>
      </c>
      <c r="F19" s="37"/>
      <c r="H19" s="3"/>
    </row>
    <row r="20" spans="1:8" ht="15">
      <c r="A20" s="40" t="s">
        <v>64</v>
      </c>
      <c r="B20" s="7" t="s">
        <v>18</v>
      </c>
      <c r="C20" s="6">
        <v>538.3</v>
      </c>
      <c r="D20" s="6">
        <v>430.64</v>
      </c>
      <c r="E20" s="61">
        <f t="shared" si="0"/>
        <v>968.9399999999999</v>
      </c>
      <c r="F20" s="37"/>
      <c r="H20" s="3"/>
    </row>
    <row r="21" spans="1:8" ht="15">
      <c r="A21" s="58" t="s">
        <v>65</v>
      </c>
      <c r="B21" s="7" t="s">
        <v>19</v>
      </c>
      <c r="C21" s="6">
        <v>3553.43</v>
      </c>
      <c r="D21" s="6">
        <v>2843</v>
      </c>
      <c r="E21" s="61">
        <f t="shared" si="0"/>
        <v>6396.43</v>
      </c>
      <c r="F21" s="37"/>
      <c r="H21" s="3"/>
    </row>
    <row r="22" spans="1:8" ht="15">
      <c r="A22" s="40" t="s">
        <v>66</v>
      </c>
      <c r="B22" s="7" t="s">
        <v>20</v>
      </c>
      <c r="C22" s="6">
        <v>4122.21</v>
      </c>
      <c r="D22" s="6">
        <v>3298.27</v>
      </c>
      <c r="E22" s="61">
        <f t="shared" si="0"/>
        <v>7420.48</v>
      </c>
      <c r="F22" s="37"/>
      <c r="H22" s="3"/>
    </row>
    <row r="23" spans="1:8" ht="15">
      <c r="A23" s="58" t="s">
        <v>67</v>
      </c>
      <c r="B23" s="7" t="s">
        <v>21</v>
      </c>
      <c r="C23" s="6">
        <v>0</v>
      </c>
      <c r="D23" s="6">
        <v>0</v>
      </c>
      <c r="E23" s="61">
        <f t="shared" si="0"/>
        <v>0</v>
      </c>
      <c r="F23" s="37"/>
      <c r="H23" s="3"/>
    </row>
    <row r="24" spans="1:8" ht="15">
      <c r="A24" s="40" t="s">
        <v>68</v>
      </c>
      <c r="B24" s="7" t="s">
        <v>22</v>
      </c>
      <c r="C24" s="6">
        <v>346.66</v>
      </c>
      <c r="D24" s="6">
        <v>277.29</v>
      </c>
      <c r="E24" s="61">
        <f t="shared" si="0"/>
        <v>623.95</v>
      </c>
      <c r="F24" s="37"/>
      <c r="H24" s="3"/>
    </row>
    <row r="25" spans="1:8" ht="15">
      <c r="A25" s="58" t="s">
        <v>69</v>
      </c>
      <c r="B25" s="7" t="s">
        <v>23</v>
      </c>
      <c r="C25" s="6">
        <v>1348.45</v>
      </c>
      <c r="D25" s="6">
        <v>1078.8</v>
      </c>
      <c r="E25" s="61">
        <f t="shared" si="0"/>
        <v>2427.25</v>
      </c>
      <c r="F25" s="37"/>
      <c r="H25" s="3"/>
    </row>
    <row r="26" spans="1:8" ht="15">
      <c r="A26" s="40" t="s">
        <v>70</v>
      </c>
      <c r="B26" s="7" t="s">
        <v>24</v>
      </c>
      <c r="C26" s="6">
        <v>1390.14</v>
      </c>
      <c r="D26" s="6">
        <v>1112.15</v>
      </c>
      <c r="E26" s="61">
        <f t="shared" si="0"/>
        <v>2502.29</v>
      </c>
      <c r="F26" s="37"/>
      <c r="H26" s="3"/>
    </row>
    <row r="27" spans="1:8" ht="15">
      <c r="A27" s="58" t="s">
        <v>71</v>
      </c>
      <c r="B27" s="7" t="s">
        <v>25</v>
      </c>
      <c r="C27" s="6">
        <v>6814.98</v>
      </c>
      <c r="D27" s="6">
        <v>5453.17</v>
      </c>
      <c r="E27" s="61">
        <f t="shared" si="0"/>
        <v>12268.15</v>
      </c>
      <c r="F27" s="37"/>
      <c r="H27" s="3"/>
    </row>
    <row r="28" spans="1:8" ht="15">
      <c r="A28" s="40" t="s">
        <v>72</v>
      </c>
      <c r="B28" s="7" t="s">
        <v>26</v>
      </c>
      <c r="C28" s="6">
        <v>1217.44</v>
      </c>
      <c r="D28" s="6">
        <v>974</v>
      </c>
      <c r="E28" s="61">
        <f t="shared" si="0"/>
        <v>2191.44</v>
      </c>
      <c r="F28" s="37"/>
      <c r="H28" s="3"/>
    </row>
    <row r="29" spans="1:8" ht="15">
      <c r="A29" s="58" t="s">
        <v>73</v>
      </c>
      <c r="B29" s="7" t="s">
        <v>27</v>
      </c>
      <c r="C29" s="6">
        <v>1964.25</v>
      </c>
      <c r="D29" s="6">
        <v>1571.57</v>
      </c>
      <c r="E29" s="61">
        <f t="shared" si="0"/>
        <v>3535.8199999999997</v>
      </c>
      <c r="F29" s="37"/>
      <c r="H29" s="3"/>
    </row>
    <row r="30" spans="1:8" ht="15">
      <c r="A30" s="40" t="s">
        <v>74</v>
      </c>
      <c r="B30" s="7" t="s">
        <v>28</v>
      </c>
      <c r="C30" s="6">
        <v>6345.39</v>
      </c>
      <c r="D30" s="6">
        <v>5067.41</v>
      </c>
      <c r="E30" s="61">
        <f t="shared" si="0"/>
        <v>11412.8</v>
      </c>
      <c r="F30" s="37"/>
      <c r="H30" s="3"/>
    </row>
    <row r="31" spans="1:8" ht="15">
      <c r="A31" s="58" t="s">
        <v>75</v>
      </c>
      <c r="B31" s="7" t="s">
        <v>29</v>
      </c>
      <c r="C31" s="6">
        <v>97.52</v>
      </c>
      <c r="D31" s="6">
        <v>78</v>
      </c>
      <c r="E31" s="61">
        <f t="shared" si="0"/>
        <v>175.51999999999998</v>
      </c>
      <c r="F31" s="37"/>
      <c r="H31" s="3"/>
    </row>
    <row r="32" spans="1:8" ht="15">
      <c r="A32" s="40" t="s">
        <v>76</v>
      </c>
      <c r="B32" s="7" t="s">
        <v>30</v>
      </c>
      <c r="C32" s="6">
        <v>2372.9</v>
      </c>
      <c r="D32" s="6">
        <v>1898.39</v>
      </c>
      <c r="E32" s="61">
        <f t="shared" si="0"/>
        <v>4271.29</v>
      </c>
      <c r="F32" s="37"/>
      <c r="H32" s="3"/>
    </row>
    <row r="33" spans="1:8" ht="15">
      <c r="A33" s="58" t="s">
        <v>77</v>
      </c>
      <c r="B33" s="7" t="s">
        <v>31</v>
      </c>
      <c r="C33" s="6">
        <v>2403.05</v>
      </c>
      <c r="D33" s="6">
        <v>1917.23</v>
      </c>
      <c r="E33" s="61">
        <f t="shared" si="0"/>
        <v>4320.280000000001</v>
      </c>
      <c r="F33" s="37"/>
      <c r="H33" s="3"/>
    </row>
    <row r="34" spans="1:8" ht="15">
      <c r="A34" s="40" t="s">
        <v>78</v>
      </c>
      <c r="B34" s="7" t="s">
        <v>32</v>
      </c>
      <c r="C34" s="6">
        <v>6307.77</v>
      </c>
      <c r="D34" s="6">
        <v>5046.46</v>
      </c>
      <c r="E34" s="61">
        <f t="shared" si="0"/>
        <v>11354.23</v>
      </c>
      <c r="F34" s="37"/>
      <c r="H34" s="3"/>
    </row>
    <row r="35" spans="1:8" ht="15">
      <c r="A35" s="58" t="s">
        <v>80</v>
      </c>
      <c r="B35" s="7" t="s">
        <v>33</v>
      </c>
      <c r="C35" s="6">
        <v>8775.99</v>
      </c>
      <c r="D35" s="6">
        <v>7021.27</v>
      </c>
      <c r="E35" s="61">
        <f t="shared" si="0"/>
        <v>15797.26</v>
      </c>
      <c r="F35" s="37"/>
      <c r="H35" s="3"/>
    </row>
    <row r="36" spans="1:8" ht="15">
      <c r="A36" s="40" t="s">
        <v>81</v>
      </c>
      <c r="B36" s="7" t="s">
        <v>34</v>
      </c>
      <c r="C36" s="6">
        <v>0</v>
      </c>
      <c r="D36" s="6">
        <v>0</v>
      </c>
      <c r="E36" s="61">
        <f t="shared" si="0"/>
        <v>0</v>
      </c>
      <c r="F36" s="37"/>
      <c r="H36" s="3"/>
    </row>
    <row r="37" spans="1:8" ht="15">
      <c r="A37" s="58" t="s">
        <v>82</v>
      </c>
      <c r="B37" s="7" t="s">
        <v>87</v>
      </c>
      <c r="C37" s="6">
        <v>684.37</v>
      </c>
      <c r="D37" s="6">
        <v>547.49</v>
      </c>
      <c r="E37" s="61">
        <f t="shared" si="0"/>
        <v>1231.8600000000001</v>
      </c>
      <c r="F37" s="37"/>
      <c r="H37" s="3"/>
    </row>
    <row r="38" spans="1:8" ht="15">
      <c r="A38" s="40" t="s">
        <v>83</v>
      </c>
      <c r="B38" s="7" t="s">
        <v>89</v>
      </c>
      <c r="C38" s="6">
        <v>2000.19</v>
      </c>
      <c r="D38" s="6">
        <v>1600.25</v>
      </c>
      <c r="E38" s="61">
        <f t="shared" si="0"/>
        <v>3600.44</v>
      </c>
      <c r="F38" s="37"/>
      <c r="H38" s="3"/>
    </row>
    <row r="39" spans="1:8" ht="15">
      <c r="A39" s="58" t="s">
        <v>84</v>
      </c>
      <c r="B39" s="7" t="s">
        <v>90</v>
      </c>
      <c r="C39" s="6">
        <v>3416.92</v>
      </c>
      <c r="D39" s="6">
        <v>2734.04</v>
      </c>
      <c r="E39" s="61">
        <f t="shared" si="0"/>
        <v>6150.96</v>
      </c>
      <c r="F39" s="37"/>
      <c r="H39" s="3"/>
    </row>
    <row r="40" spans="1:8" ht="15">
      <c r="A40" s="40" t="s">
        <v>85</v>
      </c>
      <c r="B40" s="7" t="s">
        <v>93</v>
      </c>
      <c r="C40" s="6">
        <v>1523.32</v>
      </c>
      <c r="D40" s="6">
        <v>1218.67</v>
      </c>
      <c r="E40" s="61">
        <f t="shared" si="0"/>
        <v>2741.99</v>
      </c>
      <c r="F40" s="37"/>
      <c r="H40" s="3"/>
    </row>
    <row r="41" spans="1:8" ht="15">
      <c r="A41" s="58" t="s">
        <v>86</v>
      </c>
      <c r="B41" s="7" t="s">
        <v>94</v>
      </c>
      <c r="C41" s="6">
        <v>343.37</v>
      </c>
      <c r="D41" s="6">
        <v>274.63</v>
      </c>
      <c r="E41" s="61">
        <f t="shared" si="0"/>
        <v>618</v>
      </c>
      <c r="F41" s="37"/>
      <c r="H41" s="3"/>
    </row>
    <row r="42" spans="1:8" ht="15">
      <c r="A42" s="58" t="s">
        <v>91</v>
      </c>
      <c r="B42" s="7" t="s">
        <v>98</v>
      </c>
      <c r="C42" s="6">
        <v>2032.66</v>
      </c>
      <c r="D42" s="6">
        <v>1626.39</v>
      </c>
      <c r="E42" s="8">
        <f t="shared" si="0"/>
        <v>3659.05</v>
      </c>
      <c r="F42" s="37"/>
      <c r="H42" s="3"/>
    </row>
    <row r="43" spans="1:8" ht="15">
      <c r="A43" s="58">
        <v>37</v>
      </c>
      <c r="B43" s="7" t="s">
        <v>113</v>
      </c>
      <c r="C43" s="6">
        <v>21.61</v>
      </c>
      <c r="D43" s="6">
        <v>17.28</v>
      </c>
      <c r="E43" s="8">
        <f t="shared" si="0"/>
        <v>38.89</v>
      </c>
      <c r="F43" s="37"/>
      <c r="H43" s="3"/>
    </row>
    <row r="44" spans="1:8" ht="15.75" thickBot="1">
      <c r="A44" s="58">
        <v>38</v>
      </c>
      <c r="B44" s="7" t="s">
        <v>114</v>
      </c>
      <c r="C44" s="6">
        <v>503.3</v>
      </c>
      <c r="D44" s="6">
        <v>402.71</v>
      </c>
      <c r="E44" s="8">
        <f t="shared" si="0"/>
        <v>906.01</v>
      </c>
      <c r="F44" s="37"/>
      <c r="H44" s="3"/>
    </row>
    <row r="45" spans="1:8" ht="15.75" thickBot="1">
      <c r="A45" s="57"/>
      <c r="B45" s="90" t="s">
        <v>35</v>
      </c>
      <c r="C45" s="91">
        <f>SUM(C7:C44)</f>
        <v>112650.54000000002</v>
      </c>
      <c r="D45" s="91">
        <f>SUM(D7:D44)</f>
        <v>90109.53</v>
      </c>
      <c r="E45" s="92">
        <f>SUM(E7:E44)</f>
        <v>202760.06999999995</v>
      </c>
      <c r="F45" s="37"/>
      <c r="H45" s="3"/>
    </row>
    <row r="46" spans="1:6" ht="14.25">
      <c r="A46" s="37"/>
      <c r="B46" s="37"/>
      <c r="C46" s="1"/>
      <c r="D46" s="1"/>
      <c r="E46" s="41"/>
      <c r="F46" s="37"/>
    </row>
    <row r="48" ht="12.75">
      <c r="D48" s="3"/>
    </row>
    <row r="49" ht="12.75">
      <c r="C49" s="3"/>
    </row>
    <row r="50" ht="12.75">
      <c r="E50" s="3"/>
    </row>
    <row r="56" ht="12.75">
      <c r="C56" s="3"/>
    </row>
  </sheetData>
  <mergeCells count="1">
    <mergeCell ref="A3:F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3"/>
  <sheetViews>
    <sheetView workbookViewId="0" topLeftCell="A13">
      <selection activeCell="C52" sqref="C52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5" width="13.140625" style="0" bestFit="1" customWidth="1"/>
  </cols>
  <sheetData>
    <row r="3" spans="1:7" ht="15">
      <c r="A3" s="97" t="s">
        <v>118</v>
      </c>
      <c r="B3" s="97"/>
      <c r="C3" s="97"/>
      <c r="D3" s="97"/>
      <c r="E3" s="97"/>
      <c r="F3" s="97"/>
      <c r="G3" s="97"/>
    </row>
    <row r="4" spans="1:7" ht="14.25">
      <c r="A4" s="37"/>
      <c r="B4" s="37"/>
      <c r="C4" s="39"/>
      <c r="D4" s="1"/>
      <c r="E4" s="1"/>
      <c r="F4" s="37"/>
      <c r="G4" s="37"/>
    </row>
    <row r="5" spans="1:7" ht="30">
      <c r="A5" s="49" t="s">
        <v>0</v>
      </c>
      <c r="B5" s="49" t="s">
        <v>1</v>
      </c>
      <c r="C5" s="51" t="s">
        <v>41</v>
      </c>
      <c r="D5" s="1"/>
      <c r="E5" s="1"/>
      <c r="F5" s="37"/>
      <c r="G5" s="37"/>
    </row>
    <row r="6" spans="1:7" ht="15">
      <c r="A6" s="40" t="s">
        <v>79</v>
      </c>
      <c r="B6" s="7" t="s">
        <v>6</v>
      </c>
      <c r="C6" s="8">
        <v>28477.91</v>
      </c>
      <c r="D6" s="1"/>
      <c r="E6" s="1"/>
      <c r="F6" s="37"/>
      <c r="G6" s="37"/>
    </row>
    <row r="7" spans="1:7" ht="15">
      <c r="A7" s="40" t="s">
        <v>52</v>
      </c>
      <c r="B7" s="7" t="s">
        <v>39</v>
      </c>
      <c r="C7" s="8">
        <v>23992.25</v>
      </c>
      <c r="D7" s="1"/>
      <c r="E7" s="1"/>
      <c r="F7" s="37"/>
      <c r="G7" s="37"/>
    </row>
    <row r="8" spans="1:7" ht="15">
      <c r="A8" s="40" t="s">
        <v>53</v>
      </c>
      <c r="B8" s="7" t="s">
        <v>8</v>
      </c>
      <c r="C8" s="8">
        <v>7970.23</v>
      </c>
      <c r="D8" s="1"/>
      <c r="E8" s="1"/>
      <c r="F8" s="37"/>
      <c r="G8" s="37"/>
    </row>
    <row r="9" spans="1:7" ht="15">
      <c r="A9" s="40" t="s">
        <v>54</v>
      </c>
      <c r="B9" s="7" t="s">
        <v>9</v>
      </c>
      <c r="C9" s="8"/>
      <c r="D9" s="1"/>
      <c r="E9" s="1"/>
      <c r="F9" s="37"/>
      <c r="G9" s="37"/>
    </row>
    <row r="10" spans="1:7" ht="15">
      <c r="A10" s="40" t="s">
        <v>55</v>
      </c>
      <c r="B10" s="7" t="s">
        <v>10</v>
      </c>
      <c r="C10" s="8">
        <v>3441.58</v>
      </c>
      <c r="D10" s="1"/>
      <c r="E10" s="1"/>
      <c r="F10" s="37"/>
      <c r="G10" s="37"/>
    </row>
    <row r="11" spans="1:7" ht="15">
      <c r="A11" s="40" t="s">
        <v>56</v>
      </c>
      <c r="B11" s="7" t="s">
        <v>11</v>
      </c>
      <c r="C11" s="8">
        <v>19862.32</v>
      </c>
      <c r="D11" s="1"/>
      <c r="E11" s="1"/>
      <c r="F11" s="37"/>
      <c r="G11" s="37"/>
    </row>
    <row r="12" spans="1:7" ht="15">
      <c r="A12" s="40" t="s">
        <v>57</v>
      </c>
      <c r="B12" s="7" t="s">
        <v>12</v>
      </c>
      <c r="C12" s="8"/>
      <c r="D12" s="1"/>
      <c r="E12" s="1"/>
      <c r="F12" s="37"/>
      <c r="G12" s="37"/>
    </row>
    <row r="13" spans="1:7" ht="15">
      <c r="A13" s="40" t="s">
        <v>58</v>
      </c>
      <c r="B13" s="7" t="s">
        <v>13</v>
      </c>
      <c r="C13" s="8">
        <v>33014.01</v>
      </c>
      <c r="D13" s="1"/>
      <c r="E13" s="1"/>
      <c r="F13" s="37"/>
      <c r="G13" s="37"/>
    </row>
    <row r="14" spans="1:7" ht="15">
      <c r="A14" s="40" t="s">
        <v>59</v>
      </c>
      <c r="B14" s="7" t="s">
        <v>112</v>
      </c>
      <c r="C14" s="8">
        <v>28382.26</v>
      </c>
      <c r="D14" s="1"/>
      <c r="E14" s="1"/>
      <c r="F14" s="37"/>
      <c r="G14" s="37"/>
    </row>
    <row r="15" spans="1:7" ht="15">
      <c r="A15" s="40" t="s">
        <v>60</v>
      </c>
      <c r="B15" s="7" t="s">
        <v>14</v>
      </c>
      <c r="C15" s="8">
        <v>35118.11</v>
      </c>
      <c r="D15" s="1"/>
      <c r="E15" s="1"/>
      <c r="F15" s="37"/>
      <c r="G15" s="37"/>
    </row>
    <row r="16" spans="1:7" ht="15">
      <c r="A16" s="40" t="s">
        <v>61</v>
      </c>
      <c r="B16" s="7" t="s">
        <v>15</v>
      </c>
      <c r="C16" s="8">
        <v>10028.34</v>
      </c>
      <c r="D16" s="1"/>
      <c r="E16" s="1"/>
      <c r="F16" s="37"/>
      <c r="G16" s="37"/>
    </row>
    <row r="17" spans="1:7" ht="15">
      <c r="A17" s="40" t="s">
        <v>62</v>
      </c>
      <c r="B17" s="7" t="s">
        <v>40</v>
      </c>
      <c r="C17" s="8">
        <v>38491.85</v>
      </c>
      <c r="D17" s="1"/>
      <c r="E17" s="1"/>
      <c r="F17" s="37"/>
      <c r="G17" s="37"/>
    </row>
    <row r="18" spans="1:7" ht="15">
      <c r="A18" s="40" t="s">
        <v>63</v>
      </c>
      <c r="B18" s="7" t="s">
        <v>17</v>
      </c>
      <c r="C18" s="8">
        <v>15872.17</v>
      </c>
      <c r="D18" s="1"/>
      <c r="E18" s="1"/>
      <c r="F18" s="37"/>
      <c r="G18" s="37"/>
    </row>
    <row r="19" spans="1:7" ht="15">
      <c r="A19" s="40" t="s">
        <v>64</v>
      </c>
      <c r="B19" s="7" t="s">
        <v>18</v>
      </c>
      <c r="C19" s="8">
        <v>4434.93</v>
      </c>
      <c r="D19" s="1"/>
      <c r="E19" s="1"/>
      <c r="F19" s="37"/>
      <c r="G19" s="37"/>
    </row>
    <row r="20" spans="1:7" ht="15">
      <c r="A20" s="40" t="s">
        <v>65</v>
      </c>
      <c r="B20" s="7" t="s">
        <v>19</v>
      </c>
      <c r="C20" s="8">
        <v>7647.2</v>
      </c>
      <c r="D20" s="1"/>
      <c r="E20" s="1"/>
      <c r="F20" s="37"/>
      <c r="G20" s="37"/>
    </row>
    <row r="21" spans="1:7" ht="15">
      <c r="A21" s="40" t="s">
        <v>66</v>
      </c>
      <c r="B21" s="7" t="s">
        <v>20</v>
      </c>
      <c r="C21" s="8">
        <v>2248.47</v>
      </c>
      <c r="D21" s="1"/>
      <c r="E21" s="1"/>
      <c r="F21" s="37"/>
      <c r="G21" s="37"/>
    </row>
    <row r="22" spans="1:7" ht="15">
      <c r="A22" s="40" t="s">
        <v>67</v>
      </c>
      <c r="B22" s="7" t="s">
        <v>21</v>
      </c>
      <c r="C22" s="8"/>
      <c r="D22" s="1"/>
      <c r="E22" s="1"/>
      <c r="F22" s="37"/>
      <c r="G22" s="37"/>
    </row>
    <row r="23" spans="1:7" ht="15">
      <c r="A23" s="40" t="s">
        <v>68</v>
      </c>
      <c r="B23" s="7" t="s">
        <v>22</v>
      </c>
      <c r="C23" s="8">
        <v>257.66</v>
      </c>
      <c r="D23" s="1"/>
      <c r="E23" s="1"/>
      <c r="F23" s="37"/>
      <c r="G23" s="37"/>
    </row>
    <row r="24" spans="1:7" ht="15">
      <c r="A24" s="40" t="s">
        <v>69</v>
      </c>
      <c r="B24" s="7" t="s">
        <v>23</v>
      </c>
      <c r="C24" s="8">
        <v>2044.38</v>
      </c>
      <c r="D24" s="1"/>
      <c r="E24" s="1"/>
      <c r="F24" s="37"/>
      <c r="G24" s="37"/>
    </row>
    <row r="25" spans="1:7" ht="15">
      <c r="A25" s="40" t="s">
        <v>70</v>
      </c>
      <c r="B25" s="7" t="s">
        <v>24</v>
      </c>
      <c r="C25" s="8">
        <v>3258.91</v>
      </c>
      <c r="D25" s="1"/>
      <c r="E25" s="1"/>
      <c r="F25" s="37"/>
      <c r="G25" s="37"/>
    </row>
    <row r="26" spans="1:7" ht="15">
      <c r="A26" s="40" t="s">
        <v>71</v>
      </c>
      <c r="B26" s="7" t="s">
        <v>25</v>
      </c>
      <c r="C26" s="8">
        <v>19942.81</v>
      </c>
      <c r="D26" s="1"/>
      <c r="E26" s="1"/>
      <c r="F26" s="37"/>
      <c r="G26" s="37"/>
    </row>
    <row r="27" spans="1:7" ht="15">
      <c r="A27" s="40" t="s">
        <v>72</v>
      </c>
      <c r="B27" s="7" t="s">
        <v>26</v>
      </c>
      <c r="C27" s="8">
        <v>1608.04</v>
      </c>
      <c r="D27" s="1"/>
      <c r="E27" s="1"/>
      <c r="F27" s="37"/>
      <c r="G27" s="37"/>
    </row>
    <row r="28" spans="1:7" ht="15">
      <c r="A28" s="40" t="s">
        <v>73</v>
      </c>
      <c r="B28" s="7" t="s">
        <v>27</v>
      </c>
      <c r="C28" s="8">
        <v>2193.72</v>
      </c>
      <c r="D28" s="1"/>
      <c r="E28" s="1"/>
      <c r="F28" s="37"/>
      <c r="G28" s="37"/>
    </row>
    <row r="29" spans="1:7" ht="15">
      <c r="A29" s="40" t="s">
        <v>74</v>
      </c>
      <c r="B29" s="7" t="s">
        <v>28</v>
      </c>
      <c r="C29" s="8">
        <v>33626.21</v>
      </c>
      <c r="D29" s="1"/>
      <c r="E29" s="1"/>
      <c r="F29" s="37"/>
      <c r="G29" s="37"/>
    </row>
    <row r="30" spans="1:7" ht="15">
      <c r="A30" s="40" t="s">
        <v>75</v>
      </c>
      <c r="B30" s="7" t="s">
        <v>29</v>
      </c>
      <c r="C30" s="8">
        <v>4738.51</v>
      </c>
      <c r="D30" s="1"/>
      <c r="E30" s="1"/>
      <c r="F30" s="37"/>
      <c r="G30" s="37"/>
    </row>
    <row r="31" spans="1:7" ht="15">
      <c r="A31" s="40" t="s">
        <v>76</v>
      </c>
      <c r="B31" s="7" t="s">
        <v>30</v>
      </c>
      <c r="C31" s="8">
        <v>6955.79</v>
      </c>
      <c r="D31" s="1"/>
      <c r="E31" s="1"/>
      <c r="F31" s="37"/>
      <c r="G31" s="37"/>
    </row>
    <row r="32" spans="1:7" ht="15">
      <c r="A32" s="40" t="s">
        <v>77</v>
      </c>
      <c r="B32" s="7" t="s">
        <v>31</v>
      </c>
      <c r="C32" s="8">
        <v>3555.59</v>
      </c>
      <c r="D32" s="1"/>
      <c r="E32" s="1"/>
      <c r="F32" s="37"/>
      <c r="G32" s="37"/>
    </row>
    <row r="33" spans="1:7" ht="15">
      <c r="A33" s="40" t="s">
        <v>78</v>
      </c>
      <c r="B33" s="7" t="s">
        <v>32</v>
      </c>
      <c r="C33" s="8">
        <v>19824.73</v>
      </c>
      <c r="D33" s="1"/>
      <c r="E33" s="1"/>
      <c r="F33" s="37"/>
      <c r="G33" s="37"/>
    </row>
    <row r="34" spans="1:7" ht="15">
      <c r="A34" s="40" t="s">
        <v>80</v>
      </c>
      <c r="B34" s="7" t="s">
        <v>33</v>
      </c>
      <c r="C34" s="8">
        <v>5733.37</v>
      </c>
      <c r="D34" s="1"/>
      <c r="E34" s="1"/>
      <c r="F34" s="37"/>
      <c r="G34" s="37"/>
    </row>
    <row r="35" spans="1:7" ht="15">
      <c r="A35" s="40" t="s">
        <v>81</v>
      </c>
      <c r="B35" s="7" t="s">
        <v>34</v>
      </c>
      <c r="C35" s="8"/>
      <c r="D35" s="1"/>
      <c r="E35" s="1"/>
      <c r="F35" s="37"/>
      <c r="G35" s="37"/>
    </row>
    <row r="36" spans="1:7" ht="15">
      <c r="A36" s="40" t="s">
        <v>82</v>
      </c>
      <c r="B36" s="7" t="s">
        <v>87</v>
      </c>
      <c r="C36" s="8">
        <v>314.68</v>
      </c>
      <c r="D36" s="1"/>
      <c r="E36" s="1"/>
      <c r="F36" s="37"/>
      <c r="G36" s="37"/>
    </row>
    <row r="37" spans="1:7" ht="15">
      <c r="A37" s="40" t="s">
        <v>83</v>
      </c>
      <c r="B37" s="7" t="s">
        <v>89</v>
      </c>
      <c r="C37" s="8">
        <v>6858.16</v>
      </c>
      <c r="D37" s="1"/>
      <c r="E37" s="1"/>
      <c r="F37" s="37"/>
      <c r="G37" s="37"/>
    </row>
    <row r="38" spans="1:7" ht="15">
      <c r="A38" s="40" t="s">
        <v>84</v>
      </c>
      <c r="B38" s="7" t="s">
        <v>90</v>
      </c>
      <c r="C38" s="8">
        <v>9596.73</v>
      </c>
      <c r="D38" s="1"/>
      <c r="E38" s="1"/>
      <c r="F38" s="37"/>
      <c r="G38" s="37"/>
    </row>
    <row r="39" spans="1:7" ht="15">
      <c r="A39" s="40" t="s">
        <v>85</v>
      </c>
      <c r="B39" s="7" t="s">
        <v>93</v>
      </c>
      <c r="C39" s="8">
        <v>1598.02</v>
      </c>
      <c r="D39" s="1"/>
      <c r="E39" s="1"/>
      <c r="F39" s="37"/>
      <c r="G39" s="37"/>
    </row>
    <row r="40" spans="1:7" ht="15">
      <c r="A40" s="40" t="s">
        <v>86</v>
      </c>
      <c r="B40" s="7" t="s">
        <v>94</v>
      </c>
      <c r="C40" s="8">
        <v>735.79</v>
      </c>
      <c r="D40" s="1"/>
      <c r="E40" s="1"/>
      <c r="F40" s="37"/>
      <c r="G40" s="37"/>
    </row>
    <row r="41" spans="1:7" ht="15">
      <c r="A41" s="40" t="s">
        <v>91</v>
      </c>
      <c r="B41" s="7" t="s">
        <v>98</v>
      </c>
      <c r="C41" s="8">
        <v>1078.31</v>
      </c>
      <c r="D41" s="1"/>
      <c r="E41" s="1"/>
      <c r="F41" s="37"/>
      <c r="G41" s="37"/>
    </row>
    <row r="42" spans="1:7" ht="15">
      <c r="A42" s="40" t="s">
        <v>115</v>
      </c>
      <c r="B42" s="7" t="s">
        <v>113</v>
      </c>
      <c r="C42" s="8">
        <v>414.54</v>
      </c>
      <c r="D42" s="1"/>
      <c r="E42" s="1"/>
      <c r="F42" s="37"/>
      <c r="G42" s="37"/>
    </row>
    <row r="43" spans="1:7" ht="15">
      <c r="A43" s="40" t="s">
        <v>116</v>
      </c>
      <c r="B43" s="7" t="s">
        <v>114</v>
      </c>
      <c r="C43" s="8">
        <v>1397.68</v>
      </c>
      <c r="D43" s="1"/>
      <c r="E43" s="1"/>
      <c r="F43" s="37"/>
      <c r="G43" s="37"/>
    </row>
    <row r="44" spans="1:7" ht="15">
      <c r="A44" s="52"/>
      <c r="B44" s="7" t="s">
        <v>35</v>
      </c>
      <c r="C44" s="8">
        <f>SUM(C6:C43)</f>
        <v>384715.25999999995</v>
      </c>
      <c r="D44" s="1"/>
      <c r="E44" s="1"/>
      <c r="F44" s="37"/>
      <c r="G44" s="37"/>
    </row>
    <row r="45" spans="1:7" ht="14.25">
      <c r="A45" s="37"/>
      <c r="B45" s="37"/>
      <c r="C45" s="39"/>
      <c r="D45" s="1"/>
      <c r="E45" s="1"/>
      <c r="F45" s="37"/>
      <c r="G45" s="37"/>
    </row>
    <row r="46" spans="1:7" ht="14.25">
      <c r="A46" s="37"/>
      <c r="B46" s="37"/>
      <c r="C46" s="39"/>
      <c r="D46" s="1"/>
      <c r="E46" s="37"/>
      <c r="F46" s="37"/>
      <c r="G46" s="37"/>
    </row>
    <row r="47" ht="12.75">
      <c r="C47" s="3"/>
    </row>
    <row r="48" spans="2:4" ht="12.75">
      <c r="B48" s="3"/>
      <c r="C48" s="3"/>
      <c r="D48" s="5"/>
    </row>
    <row r="49" spans="3:4" ht="12.75">
      <c r="C49" s="3"/>
      <c r="D49" s="3"/>
    </row>
    <row r="50" ht="12.75">
      <c r="D50" s="3"/>
    </row>
    <row r="52" spans="3:4" ht="12.75">
      <c r="C52" s="3"/>
      <c r="D52" s="3"/>
    </row>
    <row r="53" ht="12.75">
      <c r="D53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9"/>
  <sheetViews>
    <sheetView workbookViewId="0" topLeftCell="A6">
      <selection activeCell="C13" sqref="C13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98" t="s">
        <v>119</v>
      </c>
      <c r="B4" s="98"/>
      <c r="C4" s="98"/>
      <c r="D4" s="98"/>
      <c r="E4" s="98"/>
      <c r="F4" s="98"/>
      <c r="G4" s="98"/>
      <c r="H4" s="98"/>
    </row>
    <row r="5" spans="1:8" ht="14.25">
      <c r="A5" s="37"/>
      <c r="B5" s="37"/>
      <c r="C5" s="37"/>
      <c r="D5" s="42"/>
      <c r="E5" s="37"/>
      <c r="F5" s="37"/>
      <c r="G5" s="37"/>
      <c r="H5" s="37"/>
    </row>
    <row r="6" spans="1:8" ht="30">
      <c r="A6" s="49" t="s">
        <v>0</v>
      </c>
      <c r="B6" s="49" t="s">
        <v>1</v>
      </c>
      <c r="C6" s="50" t="s">
        <v>42</v>
      </c>
      <c r="D6" s="42"/>
      <c r="E6" s="37"/>
      <c r="F6" s="37"/>
      <c r="G6" s="37"/>
      <c r="H6" s="37"/>
    </row>
    <row r="7" spans="1:8" ht="15">
      <c r="A7" s="40" t="s">
        <v>79</v>
      </c>
      <c r="B7" s="7" t="s">
        <v>6</v>
      </c>
      <c r="C7" s="7">
        <v>19105</v>
      </c>
      <c r="D7" s="42"/>
      <c r="E7" s="37"/>
      <c r="F7" s="37"/>
      <c r="G7" s="37"/>
      <c r="H7" s="37"/>
    </row>
    <row r="8" spans="1:8" ht="15">
      <c r="A8" s="40" t="s">
        <v>52</v>
      </c>
      <c r="B8" s="7" t="s">
        <v>39</v>
      </c>
      <c r="C8" s="7">
        <v>1366.43</v>
      </c>
      <c r="D8" s="42"/>
      <c r="E8" s="37"/>
      <c r="F8" s="37"/>
      <c r="G8" s="37"/>
      <c r="H8" s="37"/>
    </row>
    <row r="9" spans="1:8" ht="15">
      <c r="A9" s="40" t="s">
        <v>53</v>
      </c>
      <c r="B9" s="7" t="s">
        <v>8</v>
      </c>
      <c r="C9" s="7"/>
      <c r="D9" s="42"/>
      <c r="E9" s="37"/>
      <c r="F9" s="37"/>
      <c r="G9" s="37"/>
      <c r="H9" s="37"/>
    </row>
    <row r="10" spans="1:8" ht="15">
      <c r="A10" s="40" t="s">
        <v>54</v>
      </c>
      <c r="B10" s="7" t="s">
        <v>9</v>
      </c>
      <c r="C10" s="7"/>
      <c r="D10" s="42"/>
      <c r="E10" s="37"/>
      <c r="F10" s="37"/>
      <c r="G10" s="37"/>
      <c r="H10" s="37"/>
    </row>
    <row r="11" spans="1:8" ht="15">
      <c r="A11" s="40" t="s">
        <v>55</v>
      </c>
      <c r="B11" s="7" t="s">
        <v>10</v>
      </c>
      <c r="C11" s="7"/>
      <c r="D11" s="42"/>
      <c r="E11" s="37"/>
      <c r="F11" s="37"/>
      <c r="G11" s="37"/>
      <c r="H11" s="37"/>
    </row>
    <row r="12" spans="1:8" ht="15">
      <c r="A12" s="40" t="s">
        <v>56</v>
      </c>
      <c r="B12" s="7" t="s">
        <v>11</v>
      </c>
      <c r="C12" s="7">
        <v>1695.9</v>
      </c>
      <c r="D12" s="42"/>
      <c r="E12" s="37"/>
      <c r="F12" s="37"/>
      <c r="G12" s="37"/>
      <c r="H12" s="37"/>
    </row>
    <row r="13" spans="1:8" ht="15">
      <c r="A13" s="40" t="s">
        <v>57</v>
      </c>
      <c r="B13" s="7" t="s">
        <v>12</v>
      </c>
      <c r="C13" s="7"/>
      <c r="D13" s="42"/>
      <c r="E13" s="37"/>
      <c r="F13" s="37"/>
      <c r="G13" s="37"/>
      <c r="H13" s="37"/>
    </row>
    <row r="14" spans="1:8" ht="15">
      <c r="A14" s="40" t="s">
        <v>58</v>
      </c>
      <c r="B14" s="7" t="s">
        <v>13</v>
      </c>
      <c r="C14" s="7">
        <v>3834.52</v>
      </c>
      <c r="D14" s="42"/>
      <c r="E14" s="37"/>
      <c r="F14" s="37"/>
      <c r="G14" s="37"/>
      <c r="H14" s="37"/>
    </row>
    <row r="15" spans="1:8" ht="15">
      <c r="A15" s="40" t="s">
        <v>59</v>
      </c>
      <c r="B15" s="7" t="s">
        <v>112</v>
      </c>
      <c r="C15" s="7">
        <v>2070.49</v>
      </c>
      <c r="D15" s="42"/>
      <c r="E15" s="37"/>
      <c r="F15" s="37"/>
      <c r="G15" s="37"/>
      <c r="H15" s="37"/>
    </row>
    <row r="16" spans="1:8" ht="15">
      <c r="A16" s="40" t="s">
        <v>60</v>
      </c>
      <c r="B16" s="7" t="s">
        <v>14</v>
      </c>
      <c r="C16" s="7">
        <v>28238.4</v>
      </c>
      <c r="D16" s="42"/>
      <c r="E16" s="37"/>
      <c r="F16" s="37"/>
      <c r="G16" s="37"/>
      <c r="H16" s="37"/>
    </row>
    <row r="17" spans="1:8" ht="15">
      <c r="A17" s="40" t="s">
        <v>61</v>
      </c>
      <c r="B17" s="7" t="s">
        <v>15</v>
      </c>
      <c r="C17" s="7">
        <v>2334.36</v>
      </c>
      <c r="D17" s="42"/>
      <c r="E17" s="37"/>
      <c r="F17" s="37"/>
      <c r="G17" s="37"/>
      <c r="H17" s="37"/>
    </row>
    <row r="18" spans="1:8" ht="15">
      <c r="A18" s="40" t="s">
        <v>62</v>
      </c>
      <c r="B18" s="7" t="s">
        <v>40</v>
      </c>
      <c r="C18" s="7">
        <v>13513.18</v>
      </c>
      <c r="D18" s="42"/>
      <c r="E18" s="37"/>
      <c r="F18" s="37"/>
      <c r="G18" s="37"/>
      <c r="H18" s="37"/>
    </row>
    <row r="19" spans="1:8" ht="15">
      <c r="A19" s="40" t="s">
        <v>63</v>
      </c>
      <c r="B19" s="7" t="s">
        <v>17</v>
      </c>
      <c r="C19" s="7">
        <v>3066.7</v>
      </c>
      <c r="D19" s="42"/>
      <c r="E19" s="37"/>
      <c r="F19" s="37"/>
      <c r="G19" s="37"/>
      <c r="H19" s="37"/>
    </row>
    <row r="20" spans="1:8" ht="15">
      <c r="A20" s="40" t="s">
        <v>64</v>
      </c>
      <c r="B20" s="7" t="s">
        <v>18</v>
      </c>
      <c r="C20" s="7">
        <v>2197.47</v>
      </c>
      <c r="D20" s="42"/>
      <c r="E20" s="37"/>
      <c r="F20" s="37"/>
      <c r="G20" s="37"/>
      <c r="H20" s="37"/>
    </row>
    <row r="21" spans="1:8" ht="15">
      <c r="A21" s="40" t="s">
        <v>65</v>
      </c>
      <c r="B21" s="7" t="s">
        <v>19</v>
      </c>
      <c r="C21" s="7">
        <v>5611.04</v>
      </c>
      <c r="D21" s="42"/>
      <c r="E21" s="37"/>
      <c r="F21" s="37"/>
      <c r="G21" s="37"/>
      <c r="H21" s="37"/>
    </row>
    <row r="22" spans="1:8" ht="15">
      <c r="A22" s="40" t="s">
        <v>66</v>
      </c>
      <c r="B22" s="7" t="s">
        <v>20</v>
      </c>
      <c r="C22" s="7"/>
      <c r="D22" s="42"/>
      <c r="E22" s="37"/>
      <c r="F22" s="37"/>
      <c r="G22" s="37"/>
      <c r="H22" s="37"/>
    </row>
    <row r="23" spans="1:8" ht="15">
      <c r="A23" s="40" t="s">
        <v>67</v>
      </c>
      <c r="B23" s="7" t="s">
        <v>21</v>
      </c>
      <c r="C23" s="7"/>
      <c r="D23" s="42"/>
      <c r="E23" s="37"/>
      <c r="F23" s="37"/>
      <c r="G23" s="37"/>
      <c r="H23" s="37"/>
    </row>
    <row r="24" spans="1:8" ht="15">
      <c r="A24" s="40" t="s">
        <v>68</v>
      </c>
      <c r="B24" s="7" t="s">
        <v>22</v>
      </c>
      <c r="C24" s="7"/>
      <c r="D24" s="42"/>
      <c r="E24" s="37"/>
      <c r="F24" s="37"/>
      <c r="G24" s="37"/>
      <c r="H24" s="37"/>
    </row>
    <row r="25" spans="1:8" ht="15">
      <c r="A25" s="40" t="s">
        <v>69</v>
      </c>
      <c r="B25" s="7" t="s">
        <v>23</v>
      </c>
      <c r="C25" s="7"/>
      <c r="D25" s="42"/>
      <c r="E25" s="37"/>
      <c r="F25" s="37"/>
      <c r="G25" s="37"/>
      <c r="H25" s="37"/>
    </row>
    <row r="26" spans="1:8" ht="15">
      <c r="A26" s="40" t="s">
        <v>70</v>
      </c>
      <c r="B26" s="7" t="s">
        <v>24</v>
      </c>
      <c r="C26" s="7">
        <v>4922.15</v>
      </c>
      <c r="D26" s="42"/>
      <c r="E26" s="37"/>
      <c r="F26" s="37"/>
      <c r="G26" s="37"/>
      <c r="H26" s="37"/>
    </row>
    <row r="27" spans="1:8" ht="15">
      <c r="A27" s="40" t="s">
        <v>71</v>
      </c>
      <c r="B27" s="7" t="s">
        <v>25</v>
      </c>
      <c r="C27" s="7">
        <v>4191.48</v>
      </c>
      <c r="D27" s="42"/>
      <c r="E27" s="37"/>
      <c r="F27" s="37"/>
      <c r="G27" s="37"/>
      <c r="H27" s="37"/>
    </row>
    <row r="28" spans="1:8" ht="15">
      <c r="A28" s="40" t="s">
        <v>72</v>
      </c>
      <c r="B28" s="7" t="s">
        <v>26</v>
      </c>
      <c r="C28" s="7"/>
      <c r="D28" s="42"/>
      <c r="E28" s="37"/>
      <c r="F28" s="37"/>
      <c r="G28" s="37"/>
      <c r="H28" s="37"/>
    </row>
    <row r="29" spans="1:8" ht="15">
      <c r="A29" s="40" t="s">
        <v>73</v>
      </c>
      <c r="B29" s="7" t="s">
        <v>27</v>
      </c>
      <c r="C29" s="7"/>
      <c r="D29" s="42"/>
      <c r="E29" s="37"/>
      <c r="F29" s="37"/>
      <c r="G29" s="37"/>
      <c r="H29" s="37"/>
    </row>
    <row r="30" spans="1:8" ht="15">
      <c r="A30" s="40" t="s">
        <v>74</v>
      </c>
      <c r="B30" s="7" t="s">
        <v>28</v>
      </c>
      <c r="C30" s="7">
        <v>4291.92</v>
      </c>
      <c r="D30" s="42"/>
      <c r="E30" s="37"/>
      <c r="F30" s="37"/>
      <c r="G30" s="37"/>
      <c r="H30" s="37"/>
    </row>
    <row r="31" spans="1:8" ht="15">
      <c r="A31" s="40" t="s">
        <v>75</v>
      </c>
      <c r="B31" s="7" t="s">
        <v>29</v>
      </c>
      <c r="C31" s="7">
        <v>7073.96</v>
      </c>
      <c r="D31" s="42"/>
      <c r="E31" s="37"/>
      <c r="F31" s="37"/>
      <c r="G31" s="37"/>
      <c r="H31" s="37"/>
    </row>
    <row r="32" spans="1:8" ht="15">
      <c r="A32" s="40" t="s">
        <v>76</v>
      </c>
      <c r="B32" s="7" t="s">
        <v>30</v>
      </c>
      <c r="C32" s="7">
        <v>1067.22</v>
      </c>
      <c r="D32" s="42"/>
      <c r="E32" s="37"/>
      <c r="F32" s="37"/>
      <c r="G32" s="37"/>
      <c r="H32" s="37"/>
    </row>
    <row r="33" spans="1:8" ht="15">
      <c r="A33" s="40" t="s">
        <v>77</v>
      </c>
      <c r="B33" s="7" t="s">
        <v>31</v>
      </c>
      <c r="C33" s="7"/>
      <c r="D33" s="42"/>
      <c r="E33" s="37"/>
      <c r="F33" s="37"/>
      <c r="G33" s="37"/>
      <c r="H33" s="37"/>
    </row>
    <row r="34" spans="1:8" ht="15">
      <c r="A34" s="40" t="s">
        <v>78</v>
      </c>
      <c r="B34" s="7" t="s">
        <v>32</v>
      </c>
      <c r="C34" s="7">
        <v>5420.51</v>
      </c>
      <c r="D34" s="42"/>
      <c r="E34" s="37"/>
      <c r="F34" s="37"/>
      <c r="G34" s="37"/>
      <c r="H34" s="37"/>
    </row>
    <row r="35" spans="1:8" ht="15">
      <c r="A35" s="40" t="s">
        <v>80</v>
      </c>
      <c r="B35" s="7" t="s">
        <v>33</v>
      </c>
      <c r="C35" s="7"/>
      <c r="D35" s="42"/>
      <c r="E35" s="37"/>
      <c r="F35" s="37"/>
      <c r="G35" s="37"/>
      <c r="H35" s="37"/>
    </row>
    <row r="36" spans="1:8" ht="15">
      <c r="A36" s="40" t="s">
        <v>81</v>
      </c>
      <c r="B36" s="7" t="s">
        <v>34</v>
      </c>
      <c r="C36" s="7"/>
      <c r="D36" s="42"/>
      <c r="E36" s="37"/>
      <c r="F36" s="37"/>
      <c r="G36" s="37"/>
      <c r="H36" s="37"/>
    </row>
    <row r="37" spans="1:8" ht="15">
      <c r="A37" s="40" t="s">
        <v>82</v>
      </c>
      <c r="B37" s="7" t="s">
        <v>87</v>
      </c>
      <c r="C37" s="7"/>
      <c r="D37" s="42"/>
      <c r="E37" s="37"/>
      <c r="F37" s="37"/>
      <c r="G37" s="37"/>
      <c r="H37" s="37"/>
    </row>
    <row r="38" spans="1:8" ht="15">
      <c r="A38" s="40" t="s">
        <v>83</v>
      </c>
      <c r="B38" s="7" t="s">
        <v>89</v>
      </c>
      <c r="C38" s="7">
        <v>2690.08</v>
      </c>
      <c r="D38" s="42"/>
      <c r="E38" s="37"/>
      <c r="F38" s="37"/>
      <c r="G38" s="37"/>
      <c r="H38" s="37"/>
    </row>
    <row r="39" spans="1:8" ht="15">
      <c r="A39" s="40" t="s">
        <v>84</v>
      </c>
      <c r="B39" s="7" t="s">
        <v>90</v>
      </c>
      <c r="C39" s="7"/>
      <c r="D39" s="42"/>
      <c r="E39" s="37"/>
      <c r="F39" s="37"/>
      <c r="G39" s="37"/>
      <c r="H39" s="37"/>
    </row>
    <row r="40" spans="1:8" ht="15">
      <c r="A40" s="40" t="s">
        <v>85</v>
      </c>
      <c r="B40" s="7" t="s">
        <v>93</v>
      </c>
      <c r="C40" s="7"/>
      <c r="D40" s="42"/>
      <c r="E40" s="37"/>
      <c r="F40" s="37"/>
      <c r="G40" s="37"/>
      <c r="H40" s="37"/>
    </row>
    <row r="41" spans="1:8" ht="15">
      <c r="A41" s="40" t="s">
        <v>86</v>
      </c>
      <c r="B41" s="7" t="s">
        <v>94</v>
      </c>
      <c r="C41" s="7"/>
      <c r="D41" s="42"/>
      <c r="E41" s="37"/>
      <c r="F41" s="37"/>
      <c r="G41" s="37"/>
      <c r="H41" s="37"/>
    </row>
    <row r="42" spans="1:8" ht="15">
      <c r="A42" s="40" t="s">
        <v>91</v>
      </c>
      <c r="B42" s="7" t="s">
        <v>98</v>
      </c>
      <c r="C42" s="7"/>
      <c r="D42" s="42"/>
      <c r="E42" s="37"/>
      <c r="F42" s="37"/>
      <c r="G42" s="37"/>
      <c r="H42" s="37"/>
    </row>
    <row r="43" spans="1:8" ht="15">
      <c r="A43" s="40" t="s">
        <v>115</v>
      </c>
      <c r="B43" s="7" t="s">
        <v>113</v>
      </c>
      <c r="C43" s="7"/>
      <c r="D43" s="42"/>
      <c r="E43" s="37"/>
      <c r="F43" s="37"/>
      <c r="G43" s="37"/>
      <c r="H43" s="37"/>
    </row>
    <row r="44" spans="1:8" ht="15">
      <c r="A44" s="40" t="s">
        <v>116</v>
      </c>
      <c r="B44" s="7" t="s">
        <v>114</v>
      </c>
      <c r="C44" s="7"/>
      <c r="D44" s="42"/>
      <c r="E44" s="37"/>
      <c r="F44" s="37"/>
      <c r="G44" s="37"/>
      <c r="H44" s="37"/>
    </row>
    <row r="45" spans="1:8" ht="15">
      <c r="A45" s="52"/>
      <c r="B45" s="7" t="s">
        <v>35</v>
      </c>
      <c r="C45" s="7">
        <f>SUM(C7:C44)</f>
        <v>112690.80999999998</v>
      </c>
      <c r="D45" s="42"/>
      <c r="E45" s="37"/>
      <c r="F45" s="37"/>
      <c r="G45" s="37"/>
      <c r="H45" s="37"/>
    </row>
    <row r="46" spans="1:8" ht="14.25">
      <c r="A46" s="37"/>
      <c r="B46" s="37"/>
      <c r="C46" s="37"/>
      <c r="D46" s="42"/>
      <c r="E46" s="37"/>
      <c r="F46" s="37"/>
      <c r="G46" s="37"/>
      <c r="H46" s="37"/>
    </row>
    <row r="47" spans="1:8" ht="14.25">
      <c r="A47" s="37"/>
      <c r="B47" s="37"/>
      <c r="C47" s="37"/>
      <c r="D47" s="37"/>
      <c r="E47" s="37"/>
      <c r="F47" s="37"/>
      <c r="G47" s="37"/>
      <c r="H47" s="37"/>
    </row>
    <row r="48" spans="1:8" ht="14.25">
      <c r="A48" s="37"/>
      <c r="B48" s="37"/>
      <c r="C48" s="37"/>
      <c r="D48" s="37"/>
      <c r="E48" s="37"/>
      <c r="F48" s="37"/>
      <c r="G48" s="37"/>
      <c r="H48" s="37"/>
    </row>
    <row r="49" ht="12.75">
      <c r="C49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">
      <selection activeCell="E29" sqref="E29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98" t="s">
        <v>120</v>
      </c>
      <c r="B3" s="98"/>
      <c r="C3" s="98"/>
      <c r="D3" s="98"/>
      <c r="E3" s="98"/>
      <c r="F3" s="98"/>
      <c r="G3" s="98"/>
    </row>
    <row r="4" spans="1:7" ht="15">
      <c r="A4" s="99"/>
      <c r="B4" s="99"/>
      <c r="C4" s="44" t="s">
        <v>43</v>
      </c>
      <c r="D4" s="1"/>
      <c r="E4" s="37"/>
      <c r="F4" s="37"/>
      <c r="G4" s="37"/>
    </row>
    <row r="5" spans="1:7" ht="15">
      <c r="A5" s="49" t="s">
        <v>0</v>
      </c>
      <c r="B5" s="49" t="s">
        <v>1</v>
      </c>
      <c r="C5" s="50" t="s">
        <v>44</v>
      </c>
      <c r="D5" s="50" t="s">
        <v>45</v>
      </c>
      <c r="E5" s="51" t="s">
        <v>48</v>
      </c>
      <c r="F5" s="37"/>
      <c r="G5" s="37"/>
    </row>
    <row r="6" spans="1:7" ht="15">
      <c r="A6" s="40" t="s">
        <v>79</v>
      </c>
      <c r="B6" s="7" t="s">
        <v>6</v>
      </c>
      <c r="C6" s="6">
        <v>20385.59</v>
      </c>
      <c r="D6" s="6">
        <v>42718.22</v>
      </c>
      <c r="E6" s="8">
        <f>C6+D6</f>
        <v>63103.81</v>
      </c>
      <c r="F6" s="37"/>
      <c r="G6" s="37"/>
    </row>
    <row r="7" spans="1:7" ht="15">
      <c r="A7" s="40" t="s">
        <v>52</v>
      </c>
      <c r="B7" s="7" t="s">
        <v>39</v>
      </c>
      <c r="C7" s="6">
        <f>1900.32+3165.73</f>
        <v>5066.05</v>
      </c>
      <c r="D7" s="6">
        <f>7962.46+4135.4</f>
        <v>12097.86</v>
      </c>
      <c r="E7" s="8">
        <f aca="true" t="shared" si="0" ref="E7:E44">C7+D7</f>
        <v>17163.91</v>
      </c>
      <c r="F7" s="37"/>
      <c r="G7" s="37"/>
    </row>
    <row r="8" spans="1:7" ht="15">
      <c r="A8" s="40" t="s">
        <v>53</v>
      </c>
      <c r="B8" s="7" t="s">
        <v>8</v>
      </c>
      <c r="C8" s="6">
        <f>182.52+626.94</f>
        <v>809.46</v>
      </c>
      <c r="D8" s="6">
        <f>1105.99+415.87</f>
        <v>1521.8600000000001</v>
      </c>
      <c r="E8" s="8">
        <f t="shared" si="0"/>
        <v>2331.32</v>
      </c>
      <c r="F8" s="37"/>
      <c r="G8" s="37"/>
    </row>
    <row r="9" spans="1:7" ht="15">
      <c r="A9" s="40" t="s">
        <v>54</v>
      </c>
      <c r="B9" s="7" t="s">
        <v>9</v>
      </c>
      <c r="C9" s="6"/>
      <c r="D9" s="6"/>
      <c r="E9" s="8">
        <f t="shared" si="0"/>
        <v>0</v>
      </c>
      <c r="F9" s="37"/>
      <c r="G9" s="37"/>
    </row>
    <row r="10" spans="1:7" ht="15">
      <c r="A10" s="40" t="s">
        <v>55</v>
      </c>
      <c r="B10" s="7" t="s">
        <v>10</v>
      </c>
      <c r="C10" s="6">
        <v>1575.1</v>
      </c>
      <c r="D10" s="6">
        <v>4130.52</v>
      </c>
      <c r="E10" s="8">
        <f t="shared" si="0"/>
        <v>5705.620000000001</v>
      </c>
      <c r="F10" s="37"/>
      <c r="G10" s="37"/>
    </row>
    <row r="11" spans="1:7" ht="15">
      <c r="A11" s="40" t="s">
        <v>56</v>
      </c>
      <c r="B11" s="7" t="s">
        <v>11</v>
      </c>
      <c r="C11" s="6">
        <v>3378.55</v>
      </c>
      <c r="D11" s="6">
        <v>5436.01</v>
      </c>
      <c r="E11" s="8">
        <f t="shared" si="0"/>
        <v>8814.560000000001</v>
      </c>
      <c r="F11" s="37"/>
      <c r="G11" s="37"/>
    </row>
    <row r="12" spans="1:7" ht="15">
      <c r="A12" s="40" t="s">
        <v>57</v>
      </c>
      <c r="B12" s="7" t="s">
        <v>12</v>
      </c>
      <c r="C12" s="6"/>
      <c r="D12" s="6"/>
      <c r="E12" s="8">
        <f t="shared" si="0"/>
        <v>0</v>
      </c>
      <c r="F12" s="37"/>
      <c r="G12" s="37"/>
    </row>
    <row r="13" spans="1:7" ht="15">
      <c r="A13" s="40" t="s">
        <v>58</v>
      </c>
      <c r="B13" s="7" t="s">
        <v>13</v>
      </c>
      <c r="C13" s="6">
        <f>6987.56+2721.12+1559.42</f>
        <v>11268.1</v>
      </c>
      <c r="D13" s="6">
        <f>17892.38+5453.78+5386.04</f>
        <v>28732.2</v>
      </c>
      <c r="E13" s="8">
        <f t="shared" si="0"/>
        <v>40000.3</v>
      </c>
      <c r="F13" s="37"/>
      <c r="G13" s="37"/>
    </row>
    <row r="14" spans="1:7" ht="15">
      <c r="A14" s="40" t="s">
        <v>59</v>
      </c>
      <c r="B14" s="7" t="s">
        <v>112</v>
      </c>
      <c r="C14" s="6">
        <f>440.92+6405.26+243.27+729.81+1835.18+105.3+935.06</f>
        <v>10694.8</v>
      </c>
      <c r="D14" s="6">
        <f>2028.39+14095.09+1151.96+2764.12+3292.58+747.25+1866.45</f>
        <v>25945.84</v>
      </c>
      <c r="E14" s="8">
        <f t="shared" si="0"/>
        <v>36640.64</v>
      </c>
      <c r="F14" s="37"/>
      <c r="G14" s="37"/>
    </row>
    <row r="15" spans="1:7" ht="15">
      <c r="A15" s="40" t="s">
        <v>60</v>
      </c>
      <c r="B15" s="7" t="s">
        <v>14</v>
      </c>
      <c r="C15" s="6">
        <v>43306.45</v>
      </c>
      <c r="D15" s="6">
        <v>94992.07</v>
      </c>
      <c r="E15" s="8">
        <f t="shared" si="0"/>
        <v>138298.52000000002</v>
      </c>
      <c r="F15" s="37"/>
      <c r="G15" s="37"/>
    </row>
    <row r="16" spans="1:7" ht="15">
      <c r="A16" s="40" t="s">
        <v>61</v>
      </c>
      <c r="B16" s="7" t="s">
        <v>15</v>
      </c>
      <c r="C16" s="6">
        <f>10582.18+1346.58</f>
        <v>11928.76</v>
      </c>
      <c r="D16" s="6">
        <f>21562.56+8632.35</f>
        <v>30194.910000000003</v>
      </c>
      <c r="E16" s="8">
        <f t="shared" si="0"/>
        <v>42123.670000000006</v>
      </c>
      <c r="F16" s="37"/>
      <c r="G16" s="37"/>
    </row>
    <row r="17" spans="1:7" ht="15">
      <c r="A17" s="40" t="s">
        <v>62</v>
      </c>
      <c r="B17" s="7" t="s">
        <v>40</v>
      </c>
      <c r="C17" s="6">
        <f>3018.29+1754.65+9295.81</f>
        <v>14068.75</v>
      </c>
      <c r="D17" s="6">
        <f>11974.17+4728.56+19298.86</f>
        <v>36001.59</v>
      </c>
      <c r="E17" s="8">
        <f t="shared" si="0"/>
        <v>50070.34</v>
      </c>
      <c r="F17" s="37"/>
      <c r="G17" s="37"/>
    </row>
    <row r="18" spans="1:7" ht="15">
      <c r="A18" s="40" t="s">
        <v>63</v>
      </c>
      <c r="B18" s="7" t="s">
        <v>17</v>
      </c>
      <c r="C18" s="6">
        <v>10608.7</v>
      </c>
      <c r="D18" s="6">
        <v>25282.34</v>
      </c>
      <c r="E18" s="8">
        <f t="shared" si="0"/>
        <v>35891.04</v>
      </c>
      <c r="F18" s="37"/>
      <c r="G18" s="37"/>
    </row>
    <row r="19" spans="1:7" ht="15">
      <c r="A19" s="40" t="s">
        <v>64</v>
      </c>
      <c r="B19" s="7" t="s">
        <v>18</v>
      </c>
      <c r="C19" s="6">
        <v>1202.73</v>
      </c>
      <c r="D19" s="6">
        <v>4990.36</v>
      </c>
      <c r="E19" s="8">
        <f t="shared" si="0"/>
        <v>6193.09</v>
      </c>
      <c r="F19" s="37"/>
      <c r="G19" s="37"/>
    </row>
    <row r="20" spans="1:7" ht="15">
      <c r="A20" s="40" t="s">
        <v>65</v>
      </c>
      <c r="B20" s="7" t="s">
        <v>19</v>
      </c>
      <c r="C20" s="6">
        <v>4596.03</v>
      </c>
      <c r="D20" s="6">
        <v>16627</v>
      </c>
      <c r="E20" s="8">
        <f t="shared" si="0"/>
        <v>21223.03</v>
      </c>
      <c r="F20" s="37"/>
      <c r="G20" s="37"/>
    </row>
    <row r="21" spans="1:7" ht="15">
      <c r="A21" s="40" t="s">
        <v>66</v>
      </c>
      <c r="B21" s="7" t="s">
        <v>20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67</v>
      </c>
      <c r="B22" s="7" t="s">
        <v>21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68</v>
      </c>
      <c r="B23" s="7" t="s">
        <v>22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69</v>
      </c>
      <c r="B24" s="7" t="s">
        <v>23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70</v>
      </c>
      <c r="B25" s="7" t="s">
        <v>24</v>
      </c>
      <c r="C25" s="6">
        <v>4333.7</v>
      </c>
      <c r="D25" s="6">
        <v>18323.34</v>
      </c>
      <c r="E25" s="8">
        <f t="shared" si="0"/>
        <v>22657.04</v>
      </c>
      <c r="F25" s="37"/>
      <c r="G25" s="37"/>
    </row>
    <row r="26" spans="1:7" ht="15">
      <c r="A26" s="40" t="s">
        <v>71</v>
      </c>
      <c r="B26" s="7" t="s">
        <v>25</v>
      </c>
      <c r="C26" s="6">
        <f>4226.58+414.94+2975.74</f>
        <v>7617.259999999999</v>
      </c>
      <c r="D26" s="6">
        <f>7025.02+1921.17+5803.86</f>
        <v>14750.05</v>
      </c>
      <c r="E26" s="8">
        <f t="shared" si="0"/>
        <v>22367.309999999998</v>
      </c>
      <c r="F26" s="37"/>
      <c r="G26" s="37"/>
    </row>
    <row r="27" spans="1:7" ht="15">
      <c r="A27" s="40" t="s">
        <v>72</v>
      </c>
      <c r="B27" s="7" t="s">
        <v>26</v>
      </c>
      <c r="C27" s="6">
        <v>182.52</v>
      </c>
      <c r="D27" s="6">
        <v>1220.82</v>
      </c>
      <c r="E27" s="8">
        <f t="shared" si="0"/>
        <v>1403.34</v>
      </c>
      <c r="F27" s="37"/>
      <c r="G27" s="37"/>
    </row>
    <row r="28" spans="1:7" ht="15">
      <c r="A28" s="40" t="s">
        <v>73</v>
      </c>
      <c r="B28" s="7" t="s">
        <v>27</v>
      </c>
      <c r="C28" s="6">
        <v>1385.09</v>
      </c>
      <c r="D28" s="6">
        <v>965.29</v>
      </c>
      <c r="E28" s="8">
        <f t="shared" si="0"/>
        <v>2350.38</v>
      </c>
      <c r="F28" s="37"/>
      <c r="G28" s="37"/>
    </row>
    <row r="29" spans="1:7" ht="15">
      <c r="A29" s="40" t="s">
        <v>74</v>
      </c>
      <c r="B29" s="7" t="s">
        <v>28</v>
      </c>
      <c r="C29" s="6">
        <f>5364.87+4357.33+87.02</f>
        <v>9809.220000000001</v>
      </c>
      <c r="D29" s="6">
        <f>13985.57+6647.38+333.16</f>
        <v>20966.11</v>
      </c>
      <c r="E29" s="8">
        <f t="shared" si="0"/>
        <v>30775.33</v>
      </c>
      <c r="F29" s="37"/>
      <c r="G29" s="37"/>
    </row>
    <row r="30" spans="1:7" ht="15">
      <c r="A30" s="40" t="s">
        <v>75</v>
      </c>
      <c r="B30" s="7" t="s">
        <v>29</v>
      </c>
      <c r="C30" s="6">
        <v>4617.83</v>
      </c>
      <c r="D30" s="6">
        <v>14378.16</v>
      </c>
      <c r="E30" s="8">
        <f t="shared" si="0"/>
        <v>18995.989999999998</v>
      </c>
      <c r="F30" s="37"/>
      <c r="G30" s="37"/>
    </row>
    <row r="31" spans="1:7" ht="15">
      <c r="A31" s="40" t="s">
        <v>76</v>
      </c>
      <c r="B31" s="7" t="s">
        <v>30</v>
      </c>
      <c r="C31" s="6">
        <f>1017.87+291.3</f>
        <v>1309.17</v>
      </c>
      <c r="D31" s="6">
        <f>3224.02+838.44</f>
        <v>4062.46</v>
      </c>
      <c r="E31" s="8">
        <f t="shared" si="0"/>
        <v>5371.63</v>
      </c>
      <c r="F31" s="37"/>
      <c r="G31" s="37"/>
    </row>
    <row r="32" spans="1:7" ht="15">
      <c r="A32" s="40" t="s">
        <v>77</v>
      </c>
      <c r="B32" s="7" t="s">
        <v>31</v>
      </c>
      <c r="C32" s="6"/>
      <c r="D32" s="6"/>
      <c r="E32" s="8">
        <f t="shared" si="0"/>
        <v>0</v>
      </c>
      <c r="F32" s="37"/>
      <c r="G32" s="37"/>
    </row>
    <row r="33" spans="1:7" ht="15">
      <c r="A33" s="40" t="s">
        <v>78</v>
      </c>
      <c r="B33" s="7" t="s">
        <v>32</v>
      </c>
      <c r="C33" s="6">
        <f>2853.7+2803.18+2588.13</f>
        <v>8245.009999999998</v>
      </c>
      <c r="D33" s="6">
        <f>9289.25+6764.2+5616.86</f>
        <v>21670.31</v>
      </c>
      <c r="E33" s="8">
        <f t="shared" si="0"/>
        <v>29915.32</v>
      </c>
      <c r="F33" s="37"/>
      <c r="G33" s="37"/>
    </row>
    <row r="34" spans="1:7" ht="15">
      <c r="A34" s="40" t="s">
        <v>80</v>
      </c>
      <c r="B34" s="7" t="s">
        <v>33</v>
      </c>
      <c r="C34" s="6"/>
      <c r="D34" s="6"/>
      <c r="E34" s="8">
        <f t="shared" si="0"/>
        <v>0</v>
      </c>
      <c r="F34" s="37"/>
      <c r="G34" s="37"/>
    </row>
    <row r="35" spans="1:7" ht="15">
      <c r="A35" s="40" t="s">
        <v>81</v>
      </c>
      <c r="B35" s="7" t="s">
        <v>34</v>
      </c>
      <c r="C35" s="6"/>
      <c r="D35" s="6"/>
      <c r="E35" s="8">
        <f t="shared" si="0"/>
        <v>0</v>
      </c>
      <c r="F35" s="37"/>
      <c r="G35" s="37"/>
    </row>
    <row r="36" spans="1:7" ht="15">
      <c r="A36" s="40" t="s">
        <v>82</v>
      </c>
      <c r="B36" s="7" t="s">
        <v>87</v>
      </c>
      <c r="C36" s="6">
        <v>608.48</v>
      </c>
      <c r="D36" s="6">
        <v>1091.25</v>
      </c>
      <c r="E36" s="8">
        <f t="shared" si="0"/>
        <v>1699.73</v>
      </c>
      <c r="F36" s="37"/>
      <c r="G36" s="37"/>
    </row>
    <row r="37" spans="1:7" ht="15">
      <c r="A37" s="40" t="s">
        <v>83</v>
      </c>
      <c r="B37" s="7" t="s">
        <v>89</v>
      </c>
      <c r="C37" s="6">
        <f>4868.34+1666.92+218.16</f>
        <v>6753.42</v>
      </c>
      <c r="D37" s="6">
        <f>10052.27+2230.42+1531.63</f>
        <v>13814.32</v>
      </c>
      <c r="E37" s="8">
        <f t="shared" si="0"/>
        <v>20567.739999999998</v>
      </c>
      <c r="F37" s="37"/>
      <c r="G37" s="37"/>
    </row>
    <row r="38" spans="1:7" ht="15">
      <c r="A38" s="40" t="s">
        <v>84</v>
      </c>
      <c r="B38" s="7" t="s">
        <v>90</v>
      </c>
      <c r="C38" s="6">
        <v>10784.33</v>
      </c>
      <c r="D38" s="6">
        <v>22400.94</v>
      </c>
      <c r="E38" s="8">
        <f t="shared" si="0"/>
        <v>33185.27</v>
      </c>
      <c r="F38" s="37"/>
      <c r="G38" s="37"/>
    </row>
    <row r="39" spans="1:7" ht="15">
      <c r="A39" s="40" t="s">
        <v>85</v>
      </c>
      <c r="B39" s="7" t="s">
        <v>93</v>
      </c>
      <c r="C39" s="6">
        <v>494.88</v>
      </c>
      <c r="D39" s="6">
        <v>505.63</v>
      </c>
      <c r="E39" s="8">
        <f t="shared" si="0"/>
        <v>1000.51</v>
      </c>
      <c r="F39" s="37"/>
      <c r="G39" s="37"/>
    </row>
    <row r="40" spans="1:7" ht="15">
      <c r="A40" s="40" t="s">
        <v>86</v>
      </c>
      <c r="B40" s="7" t="s">
        <v>94</v>
      </c>
      <c r="C40" s="6"/>
      <c r="D40" s="6"/>
      <c r="E40" s="8">
        <f t="shared" si="0"/>
        <v>0</v>
      </c>
      <c r="F40" s="37"/>
      <c r="G40" s="37"/>
    </row>
    <row r="41" spans="1:7" ht="15">
      <c r="A41" s="40" t="s">
        <v>91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5">
      <c r="A42" s="40" t="s">
        <v>115</v>
      </c>
      <c r="B42" s="7" t="s">
        <v>113</v>
      </c>
      <c r="C42" s="6"/>
      <c r="D42" s="6"/>
      <c r="E42" s="8">
        <f t="shared" si="0"/>
        <v>0</v>
      </c>
      <c r="F42" s="37"/>
      <c r="G42" s="37"/>
    </row>
    <row r="43" spans="1:7" ht="15">
      <c r="A43" s="40" t="s">
        <v>116</v>
      </c>
      <c r="B43" s="7" t="s">
        <v>114</v>
      </c>
      <c r="C43" s="6"/>
      <c r="D43" s="6"/>
      <c r="E43" s="8">
        <f t="shared" si="0"/>
        <v>0</v>
      </c>
      <c r="F43" s="37"/>
      <c r="G43" s="37"/>
    </row>
    <row r="44" spans="1:7" ht="15">
      <c r="A44" s="52"/>
      <c r="B44" s="7" t="s">
        <v>35</v>
      </c>
      <c r="C44" s="7">
        <f>SUM(C6:C41)</f>
        <v>195029.98000000004</v>
      </c>
      <c r="D44" s="7">
        <f>SUM(D6:D41)</f>
        <v>462819.46</v>
      </c>
      <c r="E44" s="8">
        <f t="shared" si="0"/>
        <v>657849.4400000001</v>
      </c>
      <c r="F44" s="37"/>
      <c r="G44" s="37"/>
    </row>
    <row r="45" spans="1:7" ht="14.25">
      <c r="A45" s="37"/>
      <c r="B45" s="37"/>
      <c r="C45" s="37"/>
      <c r="D45" s="37"/>
      <c r="E45" s="1"/>
      <c r="F45" s="37"/>
      <c r="G45" s="37"/>
    </row>
    <row r="46" spans="1:7" ht="14.25">
      <c r="A46" s="37"/>
      <c r="B46" s="37"/>
      <c r="C46" s="37"/>
      <c r="D46" s="37"/>
      <c r="E46" s="37"/>
      <c r="F46" s="37"/>
      <c r="G46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4">
      <selection activeCell="D46" sqref="D46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97" t="s">
        <v>121</v>
      </c>
      <c r="B3" s="97"/>
      <c r="C3" s="97"/>
      <c r="D3" s="97"/>
      <c r="E3" s="97"/>
      <c r="F3" s="97"/>
    </row>
    <row r="4" spans="1:6" ht="15">
      <c r="A4" s="100"/>
      <c r="B4" s="100"/>
      <c r="C4" s="100"/>
      <c r="D4" s="100"/>
      <c r="E4" s="100"/>
      <c r="F4" s="37"/>
    </row>
    <row r="5" spans="1:6" ht="14.25">
      <c r="A5" s="99"/>
      <c r="B5" s="99"/>
      <c r="C5" s="37"/>
      <c r="D5" s="37"/>
      <c r="E5" s="37"/>
      <c r="F5" s="37"/>
    </row>
    <row r="6" spans="1:6" ht="15">
      <c r="A6" s="49" t="s">
        <v>0</v>
      </c>
      <c r="B6" s="49" t="s">
        <v>1</v>
      </c>
      <c r="C6" s="50" t="s">
        <v>46</v>
      </c>
      <c r="D6" s="50" t="s">
        <v>47</v>
      </c>
      <c r="E6" s="37"/>
      <c r="F6" s="37"/>
    </row>
    <row r="7" spans="1:6" ht="15">
      <c r="A7" s="40" t="s">
        <v>79</v>
      </c>
      <c r="B7" s="7" t="s">
        <v>6</v>
      </c>
      <c r="C7" s="53">
        <v>13440</v>
      </c>
      <c r="D7" s="7">
        <v>1440</v>
      </c>
      <c r="E7" s="37"/>
      <c r="F7" s="37"/>
    </row>
    <row r="8" spans="1:6" ht="15">
      <c r="A8" s="40" t="s">
        <v>52</v>
      </c>
      <c r="B8" s="7" t="s">
        <v>39</v>
      </c>
      <c r="C8" s="53">
        <v>3000</v>
      </c>
      <c r="D8" s="7"/>
      <c r="E8" s="37"/>
      <c r="F8" s="37"/>
    </row>
    <row r="9" spans="1:6" ht="15">
      <c r="A9" s="40" t="s">
        <v>53</v>
      </c>
      <c r="B9" s="7" t="s">
        <v>8</v>
      </c>
      <c r="C9" s="53">
        <v>360</v>
      </c>
      <c r="D9" s="7"/>
      <c r="E9" s="37"/>
      <c r="F9" s="37"/>
    </row>
    <row r="10" spans="1:6" ht="15">
      <c r="A10" s="40" t="s">
        <v>54</v>
      </c>
      <c r="B10" s="7" t="s">
        <v>9</v>
      </c>
      <c r="C10" s="53"/>
      <c r="D10" s="7"/>
      <c r="E10" s="37"/>
      <c r="F10" s="37"/>
    </row>
    <row r="11" spans="1:6" ht="15">
      <c r="A11" s="40" t="s">
        <v>55</v>
      </c>
      <c r="B11" s="7" t="s">
        <v>10</v>
      </c>
      <c r="C11" s="53">
        <v>720</v>
      </c>
      <c r="D11" s="7"/>
      <c r="E11" s="37"/>
      <c r="F11" s="37"/>
    </row>
    <row r="12" spans="1:6" ht="15">
      <c r="A12" s="40" t="s">
        <v>56</v>
      </c>
      <c r="B12" s="7" t="s">
        <v>11</v>
      </c>
      <c r="C12" s="53">
        <v>1680</v>
      </c>
      <c r="D12" s="7"/>
      <c r="E12" s="37"/>
      <c r="F12" s="37"/>
    </row>
    <row r="13" spans="1:6" ht="15">
      <c r="A13" s="40" t="s">
        <v>57</v>
      </c>
      <c r="B13" s="7" t="s">
        <v>12</v>
      </c>
      <c r="C13" s="53"/>
      <c r="D13" s="7"/>
      <c r="E13" s="37"/>
      <c r="F13" s="37"/>
    </row>
    <row r="14" spans="1:6" ht="15">
      <c r="A14" s="40" t="s">
        <v>58</v>
      </c>
      <c r="B14" s="7" t="s">
        <v>13</v>
      </c>
      <c r="C14" s="53">
        <v>6000</v>
      </c>
      <c r="D14" s="7"/>
      <c r="E14" s="37"/>
      <c r="F14" s="37"/>
    </row>
    <row r="15" spans="1:6" ht="15">
      <c r="A15" s="40" t="s">
        <v>59</v>
      </c>
      <c r="B15" s="7" t="s">
        <v>112</v>
      </c>
      <c r="C15" s="53">
        <v>4680</v>
      </c>
      <c r="D15" s="7"/>
      <c r="E15" s="37"/>
      <c r="F15" s="37"/>
    </row>
    <row r="16" spans="1:6" ht="15">
      <c r="A16" s="40" t="s">
        <v>60</v>
      </c>
      <c r="B16" s="7" t="s">
        <v>14</v>
      </c>
      <c r="C16" s="53">
        <v>18180</v>
      </c>
      <c r="D16" s="7">
        <v>4440</v>
      </c>
      <c r="E16" s="37"/>
      <c r="F16" s="37"/>
    </row>
    <row r="17" spans="1:6" ht="15">
      <c r="A17" s="40" t="s">
        <v>61</v>
      </c>
      <c r="B17" s="7" t="s">
        <v>15</v>
      </c>
      <c r="C17" s="53">
        <v>4920</v>
      </c>
      <c r="D17" s="7"/>
      <c r="E17" s="37"/>
      <c r="F17" s="37"/>
    </row>
    <row r="18" spans="1:6" ht="15">
      <c r="A18" s="40" t="s">
        <v>62</v>
      </c>
      <c r="B18" s="7" t="s">
        <v>40</v>
      </c>
      <c r="C18" s="53">
        <v>8520</v>
      </c>
      <c r="D18" s="7"/>
      <c r="E18" s="37"/>
      <c r="F18" s="37"/>
    </row>
    <row r="19" spans="1:6" ht="15">
      <c r="A19" s="40" t="s">
        <v>63</v>
      </c>
      <c r="B19" s="7" t="s">
        <v>17</v>
      </c>
      <c r="C19" s="53">
        <v>3960</v>
      </c>
      <c r="D19" s="7"/>
      <c r="E19" s="37"/>
      <c r="F19" s="37"/>
    </row>
    <row r="20" spans="1:6" ht="15">
      <c r="A20" s="40" t="s">
        <v>64</v>
      </c>
      <c r="B20" s="7" t="s">
        <v>18</v>
      </c>
      <c r="C20" s="53">
        <v>1320</v>
      </c>
      <c r="D20" s="7"/>
      <c r="E20" s="37"/>
      <c r="F20" s="37"/>
    </row>
    <row r="21" spans="1:6" ht="15">
      <c r="A21" s="40" t="s">
        <v>65</v>
      </c>
      <c r="B21" s="7" t="s">
        <v>19</v>
      </c>
      <c r="C21" s="53">
        <v>3960</v>
      </c>
      <c r="D21" s="7"/>
      <c r="E21" s="37"/>
      <c r="F21" s="37"/>
    </row>
    <row r="22" spans="1:6" ht="15">
      <c r="A22" s="40" t="s">
        <v>66</v>
      </c>
      <c r="B22" s="7" t="s">
        <v>20</v>
      </c>
      <c r="C22" s="53"/>
      <c r="D22" s="7"/>
      <c r="E22" s="37"/>
      <c r="F22" s="37"/>
    </row>
    <row r="23" spans="1:6" ht="15">
      <c r="A23" s="40" t="s">
        <v>67</v>
      </c>
      <c r="B23" s="7" t="s">
        <v>21</v>
      </c>
      <c r="C23" s="53"/>
      <c r="D23" s="7"/>
      <c r="E23" s="37"/>
      <c r="F23" s="37"/>
    </row>
    <row r="24" spans="1:6" ht="15">
      <c r="A24" s="40" t="s">
        <v>68</v>
      </c>
      <c r="B24" s="7" t="s">
        <v>22</v>
      </c>
      <c r="C24" s="53"/>
      <c r="D24" s="7"/>
      <c r="E24" s="37"/>
      <c r="F24" s="37"/>
    </row>
    <row r="25" spans="1:6" ht="15">
      <c r="A25" s="40" t="s">
        <v>69</v>
      </c>
      <c r="B25" s="7" t="s">
        <v>23</v>
      </c>
      <c r="C25" s="53"/>
      <c r="D25" s="7"/>
      <c r="E25" s="37"/>
      <c r="F25" s="37"/>
    </row>
    <row r="26" spans="1:6" ht="15">
      <c r="A26" s="40" t="s">
        <v>70</v>
      </c>
      <c r="B26" s="7" t="s">
        <v>24</v>
      </c>
      <c r="C26" s="53">
        <v>4680</v>
      </c>
      <c r="D26" s="7"/>
      <c r="E26" s="37"/>
      <c r="F26" s="37"/>
    </row>
    <row r="27" spans="1:6" ht="15">
      <c r="A27" s="40" t="s">
        <v>71</v>
      </c>
      <c r="B27" s="7" t="s">
        <v>25</v>
      </c>
      <c r="C27" s="53">
        <v>3480</v>
      </c>
      <c r="D27" s="7">
        <v>960</v>
      </c>
      <c r="E27" s="37"/>
      <c r="F27" s="37"/>
    </row>
    <row r="28" spans="1:6" ht="15">
      <c r="A28" s="40" t="s">
        <v>72</v>
      </c>
      <c r="B28" s="7" t="s">
        <v>26</v>
      </c>
      <c r="C28" s="53">
        <v>240</v>
      </c>
      <c r="D28" s="7"/>
      <c r="E28" s="37"/>
      <c r="F28" s="37"/>
    </row>
    <row r="29" spans="1:6" ht="15">
      <c r="A29" s="40" t="s">
        <v>73</v>
      </c>
      <c r="B29" s="7" t="s">
        <v>27</v>
      </c>
      <c r="C29" s="53">
        <v>120</v>
      </c>
      <c r="D29" s="7"/>
      <c r="E29" s="37"/>
      <c r="F29" s="37"/>
    </row>
    <row r="30" spans="1:6" ht="15">
      <c r="A30" s="40" t="s">
        <v>74</v>
      </c>
      <c r="B30" s="7" t="s">
        <v>28</v>
      </c>
      <c r="C30" s="53">
        <v>5400</v>
      </c>
      <c r="D30" s="7"/>
      <c r="E30" s="37"/>
      <c r="F30" s="37"/>
    </row>
    <row r="31" spans="1:6" ht="15">
      <c r="A31" s="40" t="s">
        <v>75</v>
      </c>
      <c r="B31" s="7" t="s">
        <v>29</v>
      </c>
      <c r="C31" s="53">
        <v>4080</v>
      </c>
      <c r="D31" s="7">
        <v>1200</v>
      </c>
      <c r="E31" s="37"/>
      <c r="F31" s="37"/>
    </row>
    <row r="32" spans="1:6" ht="15">
      <c r="A32" s="40" t="s">
        <v>76</v>
      </c>
      <c r="B32" s="7" t="s">
        <v>30</v>
      </c>
      <c r="C32" s="53">
        <v>960</v>
      </c>
      <c r="D32" s="7"/>
      <c r="E32" s="37"/>
      <c r="F32" s="37"/>
    </row>
    <row r="33" spans="1:6" ht="15">
      <c r="A33" s="40" t="s">
        <v>77</v>
      </c>
      <c r="B33" s="7" t="s">
        <v>31</v>
      </c>
      <c r="C33" s="53"/>
      <c r="D33" s="7"/>
      <c r="E33" s="37"/>
      <c r="F33" s="37"/>
    </row>
    <row r="34" spans="1:6" ht="15">
      <c r="A34" s="40" t="s">
        <v>78</v>
      </c>
      <c r="B34" s="7" t="s">
        <v>32</v>
      </c>
      <c r="C34" s="53">
        <v>5040</v>
      </c>
      <c r="D34" s="7"/>
      <c r="E34" s="37"/>
      <c r="F34" s="37"/>
    </row>
    <row r="35" spans="1:6" ht="15">
      <c r="A35" s="40" t="s">
        <v>80</v>
      </c>
      <c r="B35" s="7" t="s">
        <v>33</v>
      </c>
      <c r="C35" s="53"/>
      <c r="D35" s="7"/>
      <c r="E35" s="37"/>
      <c r="F35" s="37"/>
    </row>
    <row r="36" spans="1:6" ht="15">
      <c r="A36" s="40" t="s">
        <v>81</v>
      </c>
      <c r="B36" s="7" t="s">
        <v>34</v>
      </c>
      <c r="C36" s="53"/>
      <c r="D36" s="7"/>
      <c r="E36" s="37"/>
      <c r="F36" s="37"/>
    </row>
    <row r="37" spans="1:6" ht="15">
      <c r="A37" s="40" t="s">
        <v>82</v>
      </c>
      <c r="B37" s="7" t="s">
        <v>87</v>
      </c>
      <c r="C37" s="53">
        <v>240</v>
      </c>
      <c r="D37" s="7"/>
      <c r="E37" s="37"/>
      <c r="F37" s="37"/>
    </row>
    <row r="38" spans="1:6" ht="15">
      <c r="A38" s="40" t="s">
        <v>83</v>
      </c>
      <c r="B38" s="7" t="s">
        <v>89</v>
      </c>
      <c r="C38" s="53">
        <v>3960</v>
      </c>
      <c r="D38" s="7"/>
      <c r="E38" s="37"/>
      <c r="F38" s="37"/>
    </row>
    <row r="39" spans="1:6" ht="15">
      <c r="A39" s="40" t="s">
        <v>84</v>
      </c>
      <c r="B39" s="7" t="s">
        <v>90</v>
      </c>
      <c r="C39" s="53">
        <v>3840</v>
      </c>
      <c r="D39" s="7"/>
      <c r="E39" s="37"/>
      <c r="F39" s="37"/>
    </row>
    <row r="40" spans="1:6" ht="15">
      <c r="A40" s="40" t="s">
        <v>85</v>
      </c>
      <c r="B40" s="7" t="s">
        <v>93</v>
      </c>
      <c r="C40" s="53">
        <v>240</v>
      </c>
      <c r="D40" s="6"/>
      <c r="E40" s="37"/>
      <c r="F40" s="37"/>
    </row>
    <row r="41" spans="1:6" ht="15">
      <c r="A41" s="40" t="s">
        <v>86</v>
      </c>
      <c r="B41" s="7" t="s">
        <v>94</v>
      </c>
      <c r="C41" s="53"/>
      <c r="D41" s="6"/>
      <c r="E41" s="37"/>
      <c r="F41" s="37"/>
    </row>
    <row r="42" spans="1:6" ht="15">
      <c r="A42" s="40" t="s">
        <v>91</v>
      </c>
      <c r="B42" s="7" t="s">
        <v>98</v>
      </c>
      <c r="C42" s="53"/>
      <c r="D42" s="6"/>
      <c r="E42" s="37"/>
      <c r="F42" s="37"/>
    </row>
    <row r="43" spans="1:6" ht="15">
      <c r="A43" s="40" t="s">
        <v>115</v>
      </c>
      <c r="B43" s="7" t="s">
        <v>113</v>
      </c>
      <c r="C43" s="53"/>
      <c r="D43" s="6"/>
      <c r="E43" s="37"/>
      <c r="F43" s="37"/>
    </row>
    <row r="44" spans="1:6" ht="15">
      <c r="A44" s="40" t="s">
        <v>116</v>
      </c>
      <c r="B44" s="7" t="s">
        <v>114</v>
      </c>
      <c r="C44" s="53"/>
      <c r="D44" s="6"/>
      <c r="E44" s="37"/>
      <c r="F44" s="37"/>
    </row>
    <row r="45" spans="1:6" ht="15">
      <c r="A45" s="52"/>
      <c r="B45" s="7" t="s">
        <v>35</v>
      </c>
      <c r="C45" s="53">
        <f>SUM(C7:C42)</f>
        <v>103020</v>
      </c>
      <c r="D45" s="53">
        <f>SUM(D7:D44)</f>
        <v>8040</v>
      </c>
      <c r="E45" s="1"/>
      <c r="F45" s="37"/>
    </row>
    <row r="46" spans="1:6" ht="14.25">
      <c r="A46" s="37"/>
      <c r="B46" s="37"/>
      <c r="C46" s="1"/>
      <c r="D46" s="37"/>
      <c r="E46" s="37"/>
      <c r="F46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9"/>
  <sheetViews>
    <sheetView view="pageBreakPreview" zoomScale="60" workbookViewId="0" topLeftCell="A1">
      <selection activeCell="C7" sqref="C7"/>
    </sheetView>
  </sheetViews>
  <sheetFormatPr defaultColWidth="9.140625" defaultRowHeight="12.75"/>
  <cols>
    <col min="2" max="2" width="36.8515625" style="0" bestFit="1" customWidth="1"/>
    <col min="3" max="3" width="16.8515625" style="0" customWidth="1"/>
  </cols>
  <sheetData>
    <row r="2" spans="1:5" ht="12.75">
      <c r="A2" s="80"/>
      <c r="B2" s="80"/>
      <c r="C2" s="80"/>
      <c r="D2" s="80"/>
      <c r="E2" s="80"/>
    </row>
    <row r="3" spans="1:5" ht="15">
      <c r="A3" s="81" t="s">
        <v>122</v>
      </c>
      <c r="B3" s="81"/>
      <c r="C3" s="81"/>
      <c r="D3" s="81"/>
      <c r="E3" s="81"/>
    </row>
    <row r="4" spans="1:5" ht="14.25">
      <c r="A4" s="37"/>
      <c r="B4" s="37"/>
      <c r="C4" s="39"/>
      <c r="D4" s="1"/>
      <c r="E4" s="1"/>
    </row>
    <row r="5" spans="1:5" ht="30">
      <c r="A5" s="49" t="s">
        <v>0</v>
      </c>
      <c r="B5" s="49" t="s">
        <v>1</v>
      </c>
      <c r="C5" s="51" t="s">
        <v>110</v>
      </c>
      <c r="D5" s="45"/>
      <c r="E5" s="12"/>
    </row>
    <row r="6" spans="1:5" ht="15">
      <c r="A6" s="40" t="s">
        <v>79</v>
      </c>
      <c r="B6" s="7" t="s">
        <v>6</v>
      </c>
      <c r="C6" s="8">
        <v>21672.18</v>
      </c>
      <c r="D6" s="46"/>
      <c r="E6" s="12"/>
    </row>
    <row r="7" spans="1:5" ht="15">
      <c r="A7" s="40" t="s">
        <v>52</v>
      </c>
      <c r="B7" s="7" t="s">
        <v>39</v>
      </c>
      <c r="C7" s="8"/>
      <c r="D7" s="46"/>
      <c r="E7" s="12"/>
    </row>
    <row r="8" spans="1:5" ht="15">
      <c r="A8" s="40" t="s">
        <v>53</v>
      </c>
      <c r="B8" s="7" t="s">
        <v>8</v>
      </c>
      <c r="C8" s="8"/>
      <c r="D8" s="46"/>
      <c r="E8" s="12"/>
    </row>
    <row r="9" spans="1:5" ht="15">
      <c r="A9" s="40" t="s">
        <v>54</v>
      </c>
      <c r="B9" s="7" t="s">
        <v>9</v>
      </c>
      <c r="C9" s="8"/>
      <c r="D9" s="46"/>
      <c r="E9" s="12"/>
    </row>
    <row r="10" spans="1:5" ht="15">
      <c r="A10" s="40" t="s">
        <v>55</v>
      </c>
      <c r="B10" s="7" t="s">
        <v>10</v>
      </c>
      <c r="C10" s="8"/>
      <c r="D10" s="46"/>
      <c r="E10" s="12"/>
    </row>
    <row r="11" spans="1:5" ht="15">
      <c r="A11" s="40" t="s">
        <v>56</v>
      </c>
      <c r="B11" s="7" t="s">
        <v>11</v>
      </c>
      <c r="C11" s="8"/>
      <c r="D11" s="46"/>
      <c r="E11" s="12"/>
    </row>
    <row r="12" spans="1:5" ht="15">
      <c r="A12" s="40" t="s">
        <v>57</v>
      </c>
      <c r="B12" s="7" t="s">
        <v>12</v>
      </c>
      <c r="C12" s="8"/>
      <c r="D12" s="46"/>
      <c r="E12" s="12"/>
    </row>
    <row r="13" spans="1:5" ht="15">
      <c r="A13" s="40" t="s">
        <v>58</v>
      </c>
      <c r="B13" s="7" t="s">
        <v>13</v>
      </c>
      <c r="C13" s="8"/>
      <c r="D13" s="46"/>
      <c r="E13" s="12"/>
    </row>
    <row r="14" spans="1:5" ht="15">
      <c r="A14" s="40" t="s">
        <v>59</v>
      </c>
      <c r="B14" s="7" t="s">
        <v>112</v>
      </c>
      <c r="C14" s="8"/>
      <c r="D14" s="46"/>
      <c r="E14" s="12"/>
    </row>
    <row r="15" spans="1:5" ht="15">
      <c r="A15" s="40" t="s">
        <v>60</v>
      </c>
      <c r="B15" s="7" t="s">
        <v>14</v>
      </c>
      <c r="C15" s="8">
        <v>37846.2</v>
      </c>
      <c r="D15" s="46"/>
      <c r="E15" s="12"/>
    </row>
    <row r="16" spans="1:5" ht="15">
      <c r="A16" s="40" t="s">
        <v>61</v>
      </c>
      <c r="B16" s="7" t="s">
        <v>15</v>
      </c>
      <c r="C16" s="8">
        <v>26852.66</v>
      </c>
      <c r="D16" s="46"/>
      <c r="E16" s="12"/>
    </row>
    <row r="17" spans="1:5" ht="15">
      <c r="A17" s="40" t="s">
        <v>62</v>
      </c>
      <c r="B17" s="7" t="s">
        <v>40</v>
      </c>
      <c r="C17" s="8"/>
      <c r="D17" s="46"/>
      <c r="E17" s="12"/>
    </row>
    <row r="18" spans="1:5" ht="15">
      <c r="A18" s="40" t="s">
        <v>63</v>
      </c>
      <c r="B18" s="7" t="s">
        <v>17</v>
      </c>
      <c r="C18" s="8"/>
      <c r="D18" s="46"/>
      <c r="E18" s="12"/>
    </row>
    <row r="19" spans="1:5" ht="15">
      <c r="A19" s="40" t="s">
        <v>64</v>
      </c>
      <c r="B19" s="7" t="s">
        <v>18</v>
      </c>
      <c r="C19" s="8"/>
      <c r="D19" s="46"/>
      <c r="E19" s="12"/>
    </row>
    <row r="20" spans="1:5" ht="15">
      <c r="A20" s="40" t="s">
        <v>65</v>
      </c>
      <c r="B20" s="7" t="s">
        <v>19</v>
      </c>
      <c r="C20" s="8"/>
      <c r="D20" s="46"/>
      <c r="E20" s="12"/>
    </row>
    <row r="21" spans="1:5" ht="15">
      <c r="A21" s="40" t="s">
        <v>66</v>
      </c>
      <c r="B21" s="7" t="s">
        <v>20</v>
      </c>
      <c r="C21" s="8"/>
      <c r="D21" s="46"/>
      <c r="E21" s="12"/>
    </row>
    <row r="22" spans="1:5" ht="15">
      <c r="A22" s="40" t="s">
        <v>67</v>
      </c>
      <c r="B22" s="7" t="s">
        <v>21</v>
      </c>
      <c r="C22" s="8"/>
      <c r="D22" s="46"/>
      <c r="E22" s="12"/>
    </row>
    <row r="23" spans="1:5" ht="15">
      <c r="A23" s="40" t="s">
        <v>68</v>
      </c>
      <c r="B23" s="7" t="s">
        <v>22</v>
      </c>
      <c r="C23" s="8"/>
      <c r="D23" s="46"/>
      <c r="E23" s="12"/>
    </row>
    <row r="24" spans="1:5" ht="15">
      <c r="A24" s="40" t="s">
        <v>69</v>
      </c>
      <c r="B24" s="7" t="s">
        <v>23</v>
      </c>
      <c r="C24" s="8"/>
      <c r="D24" s="46"/>
      <c r="E24" s="12"/>
    </row>
    <row r="25" spans="1:5" ht="15">
      <c r="A25" s="40" t="s">
        <v>70</v>
      </c>
      <c r="B25" s="7" t="s">
        <v>24</v>
      </c>
      <c r="C25" s="8"/>
      <c r="D25" s="46"/>
      <c r="E25" s="12"/>
    </row>
    <row r="26" spans="1:5" ht="15">
      <c r="A26" s="40" t="s">
        <v>71</v>
      </c>
      <c r="B26" s="7" t="s">
        <v>25</v>
      </c>
      <c r="C26" s="8">
        <v>28279.59</v>
      </c>
      <c r="D26" s="46"/>
      <c r="E26" s="12"/>
    </row>
    <row r="27" spans="1:5" ht="15">
      <c r="A27" s="40" t="s">
        <v>72</v>
      </c>
      <c r="B27" s="7" t="s">
        <v>26</v>
      </c>
      <c r="C27" s="8"/>
      <c r="D27" s="46"/>
      <c r="E27" s="12"/>
    </row>
    <row r="28" spans="1:5" ht="15">
      <c r="A28" s="40" t="s">
        <v>73</v>
      </c>
      <c r="B28" s="7" t="s">
        <v>27</v>
      </c>
      <c r="C28" s="8"/>
      <c r="D28" s="46"/>
      <c r="E28" s="12"/>
    </row>
    <row r="29" spans="1:5" ht="15">
      <c r="A29" s="40" t="s">
        <v>74</v>
      </c>
      <c r="B29" s="7" t="s">
        <v>28</v>
      </c>
      <c r="C29" s="8"/>
      <c r="D29" s="46"/>
      <c r="E29" s="12"/>
    </row>
    <row r="30" spans="1:5" ht="15">
      <c r="A30" s="40" t="s">
        <v>75</v>
      </c>
      <c r="B30" s="7" t="s">
        <v>29</v>
      </c>
      <c r="C30" s="8">
        <v>14853.25</v>
      </c>
      <c r="D30" s="46"/>
      <c r="E30" s="12"/>
    </row>
    <row r="31" spans="1:5" ht="15">
      <c r="A31" s="40" t="s">
        <v>76</v>
      </c>
      <c r="B31" s="7" t="s">
        <v>30</v>
      </c>
      <c r="C31" s="8"/>
      <c r="D31" s="46"/>
      <c r="E31" s="12"/>
    </row>
    <row r="32" spans="1:5" ht="15">
      <c r="A32" s="40" t="s">
        <v>77</v>
      </c>
      <c r="B32" s="7" t="s">
        <v>31</v>
      </c>
      <c r="C32" s="8"/>
      <c r="D32" s="46"/>
      <c r="E32" s="12"/>
    </row>
    <row r="33" spans="1:5" ht="15">
      <c r="A33" s="40" t="s">
        <v>78</v>
      </c>
      <c r="B33" s="7" t="s">
        <v>32</v>
      </c>
      <c r="C33" s="8"/>
      <c r="D33" s="46"/>
      <c r="E33" s="12"/>
    </row>
    <row r="34" spans="1:5" ht="15">
      <c r="A34" s="40" t="s">
        <v>80</v>
      </c>
      <c r="B34" s="7" t="s">
        <v>33</v>
      </c>
      <c r="C34" s="8">
        <v>7426.63</v>
      </c>
      <c r="D34" s="46"/>
      <c r="E34" s="12"/>
    </row>
    <row r="35" spans="1:5" ht="15">
      <c r="A35" s="40" t="s">
        <v>81</v>
      </c>
      <c r="B35" s="7" t="s">
        <v>34</v>
      </c>
      <c r="C35" s="8"/>
      <c r="D35" s="46"/>
      <c r="E35" s="12"/>
    </row>
    <row r="36" spans="1:5" ht="15">
      <c r="A36" s="40" t="s">
        <v>82</v>
      </c>
      <c r="B36" s="7" t="s">
        <v>87</v>
      </c>
      <c r="C36" s="8"/>
      <c r="D36" s="46"/>
      <c r="E36" s="12"/>
    </row>
    <row r="37" spans="1:5" ht="15">
      <c r="A37" s="40" t="s">
        <v>83</v>
      </c>
      <c r="B37" s="7" t="s">
        <v>89</v>
      </c>
      <c r="C37" s="8"/>
      <c r="D37" s="46"/>
      <c r="E37" s="12"/>
    </row>
    <row r="38" spans="1:5" ht="15">
      <c r="A38" s="40" t="s">
        <v>84</v>
      </c>
      <c r="B38" s="7" t="s">
        <v>90</v>
      </c>
      <c r="C38" s="8"/>
      <c r="D38" s="46"/>
      <c r="E38" s="12"/>
    </row>
    <row r="39" spans="1:5" ht="15">
      <c r="A39" s="40" t="s">
        <v>85</v>
      </c>
      <c r="B39" s="7" t="s">
        <v>93</v>
      </c>
      <c r="C39" s="8"/>
      <c r="D39" s="46"/>
      <c r="E39" s="12"/>
    </row>
    <row r="40" spans="1:5" ht="15">
      <c r="A40" s="40" t="s">
        <v>86</v>
      </c>
      <c r="B40" s="56" t="s">
        <v>94</v>
      </c>
      <c r="C40" s="8"/>
      <c r="D40" s="46"/>
      <c r="E40" s="12"/>
    </row>
    <row r="41" spans="1:5" ht="15">
      <c r="A41" s="40" t="s">
        <v>91</v>
      </c>
      <c r="B41" s="56" t="s">
        <v>98</v>
      </c>
      <c r="C41" s="8"/>
      <c r="D41" s="46"/>
      <c r="E41" s="12"/>
    </row>
    <row r="42" spans="1:5" ht="15">
      <c r="A42" s="40" t="s">
        <v>115</v>
      </c>
      <c r="B42" s="7" t="s">
        <v>113</v>
      </c>
      <c r="C42" s="8"/>
      <c r="D42" s="46"/>
      <c r="E42" s="12"/>
    </row>
    <row r="43" spans="1:5" ht="15.75" thickBot="1">
      <c r="A43" s="40" t="s">
        <v>116</v>
      </c>
      <c r="B43" s="7" t="s">
        <v>114</v>
      </c>
      <c r="C43" s="8"/>
      <c r="D43" s="46"/>
      <c r="E43" s="12"/>
    </row>
    <row r="44" spans="1:5" ht="15.75" thickBot="1">
      <c r="A44" s="54"/>
      <c r="B44" s="55" t="s">
        <v>35</v>
      </c>
      <c r="C44" s="93">
        <f>SUM(C6:C41)</f>
        <v>136930.50999999998</v>
      </c>
      <c r="D44" s="12"/>
      <c r="E44" s="12"/>
    </row>
    <row r="45" spans="1:5" ht="14.25">
      <c r="A45" s="37"/>
      <c r="B45" s="37"/>
      <c r="C45" s="39"/>
      <c r="D45" s="1"/>
      <c r="E45" s="1"/>
    </row>
    <row r="46" spans="1:5" ht="14.25">
      <c r="A46" s="37"/>
      <c r="B46" s="37"/>
      <c r="C46" s="83"/>
      <c r="D46" s="1"/>
      <c r="E46" s="1"/>
    </row>
    <row r="47" spans="1:5" ht="14.25">
      <c r="A47" s="37"/>
      <c r="B47" s="37"/>
      <c r="C47" s="37"/>
      <c r="D47" s="37"/>
      <c r="E47" s="37"/>
    </row>
    <row r="48" spans="1:5" ht="14.25">
      <c r="A48" s="37"/>
      <c r="B48" s="37"/>
      <c r="C48" s="37"/>
      <c r="D48" s="37"/>
      <c r="E48" s="37"/>
    </row>
    <row r="49" spans="1:5" ht="14.25">
      <c r="A49" s="37"/>
      <c r="B49" s="37"/>
      <c r="C49" s="37"/>
      <c r="D49" s="37"/>
      <c r="E49" s="37"/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9"/>
  <sheetViews>
    <sheetView workbookViewId="0" topLeftCell="A10">
      <selection activeCell="C34" sqref="C34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101" t="s">
        <v>123</v>
      </c>
      <c r="B3" s="101"/>
      <c r="C3" s="101"/>
      <c r="D3" s="101"/>
      <c r="E3" s="101"/>
    </row>
    <row r="4" spans="1:5" ht="14.25">
      <c r="A4" s="37"/>
      <c r="B4" s="37"/>
      <c r="C4" s="39"/>
      <c r="D4" s="1"/>
      <c r="E4" s="1"/>
    </row>
    <row r="5" spans="1:5" ht="30">
      <c r="A5" s="49" t="s">
        <v>0</v>
      </c>
      <c r="B5" s="49" t="s">
        <v>1</v>
      </c>
      <c r="C5" s="51" t="s">
        <v>49</v>
      </c>
      <c r="D5" s="45"/>
      <c r="E5" s="12"/>
    </row>
    <row r="6" spans="1:5" ht="15">
      <c r="A6" s="40" t="s">
        <v>79</v>
      </c>
      <c r="B6" s="7" t="s">
        <v>6</v>
      </c>
      <c r="C6" s="8">
        <v>99170.94</v>
      </c>
      <c r="D6" s="46"/>
      <c r="E6" s="12"/>
    </row>
    <row r="7" spans="1:5" ht="15">
      <c r="A7" s="40" t="s">
        <v>52</v>
      </c>
      <c r="B7" s="7" t="s">
        <v>39</v>
      </c>
      <c r="C7" s="8"/>
      <c r="D7" s="46"/>
      <c r="E7" s="12"/>
    </row>
    <row r="8" spans="1:5" ht="15">
      <c r="A8" s="40" t="s">
        <v>53</v>
      </c>
      <c r="B8" s="7" t="s">
        <v>8</v>
      </c>
      <c r="C8" s="8">
        <v>134.88</v>
      </c>
      <c r="D8" s="46"/>
      <c r="E8" s="12"/>
    </row>
    <row r="9" spans="1:5" ht="15">
      <c r="A9" s="40" t="s">
        <v>54</v>
      </c>
      <c r="B9" s="7" t="s">
        <v>9</v>
      </c>
      <c r="C9" s="8"/>
      <c r="D9" s="46"/>
      <c r="E9" s="12"/>
    </row>
    <row r="10" spans="1:5" ht="15">
      <c r="A10" s="40" t="s">
        <v>55</v>
      </c>
      <c r="B10" s="7" t="s">
        <v>10</v>
      </c>
      <c r="C10" s="8">
        <v>603.74</v>
      </c>
      <c r="D10" s="46"/>
      <c r="E10" s="12"/>
    </row>
    <row r="11" spans="1:5" ht="15">
      <c r="A11" s="40" t="s">
        <v>56</v>
      </c>
      <c r="B11" s="7" t="s">
        <v>11</v>
      </c>
      <c r="C11" s="8">
        <v>1798.48</v>
      </c>
      <c r="D11" s="46"/>
      <c r="E11" s="12"/>
    </row>
    <row r="12" spans="1:5" ht="15">
      <c r="A12" s="40" t="s">
        <v>57</v>
      </c>
      <c r="B12" s="7" t="s">
        <v>12</v>
      </c>
      <c r="C12" s="8"/>
      <c r="D12" s="46"/>
      <c r="E12" s="12"/>
    </row>
    <row r="13" spans="1:5" ht="15">
      <c r="A13" s="40" t="s">
        <v>58</v>
      </c>
      <c r="B13" s="7" t="s">
        <v>13</v>
      </c>
      <c r="C13" s="8">
        <v>1360.83</v>
      </c>
      <c r="D13" s="46"/>
      <c r="E13" s="12"/>
    </row>
    <row r="14" spans="1:5" ht="15">
      <c r="A14" s="40" t="s">
        <v>59</v>
      </c>
      <c r="B14" s="7" t="s">
        <v>112</v>
      </c>
      <c r="C14" s="8">
        <v>2410.97</v>
      </c>
      <c r="D14" s="46"/>
      <c r="E14" s="12"/>
    </row>
    <row r="15" spans="1:5" ht="15">
      <c r="A15" s="40" t="s">
        <v>60</v>
      </c>
      <c r="B15" s="7" t="s">
        <v>14</v>
      </c>
      <c r="C15" s="8">
        <v>112783.28</v>
      </c>
      <c r="D15" s="46"/>
      <c r="E15" s="12"/>
    </row>
    <row r="16" spans="1:5" ht="15">
      <c r="A16" s="40" t="s">
        <v>61</v>
      </c>
      <c r="B16" s="7" t="s">
        <v>15</v>
      </c>
      <c r="C16" s="8">
        <v>118.32</v>
      </c>
      <c r="D16" s="46"/>
      <c r="E16" s="12"/>
    </row>
    <row r="17" spans="1:5" ht="15">
      <c r="A17" s="40" t="s">
        <v>62</v>
      </c>
      <c r="B17" s="7" t="s">
        <v>40</v>
      </c>
      <c r="C17" s="8">
        <v>16391.29</v>
      </c>
      <c r="D17" s="46"/>
      <c r="E17" s="12"/>
    </row>
    <row r="18" spans="1:5" ht="15">
      <c r="A18" s="40" t="s">
        <v>63</v>
      </c>
      <c r="B18" s="7" t="s">
        <v>17</v>
      </c>
      <c r="C18" s="8">
        <v>385.36</v>
      </c>
      <c r="D18" s="46"/>
      <c r="E18" s="12"/>
    </row>
    <row r="19" spans="1:5" ht="15">
      <c r="A19" s="40" t="s">
        <v>64</v>
      </c>
      <c r="B19" s="7" t="s">
        <v>18</v>
      </c>
      <c r="C19" s="8"/>
      <c r="D19" s="46"/>
      <c r="E19" s="12"/>
    </row>
    <row r="20" spans="1:5" ht="15">
      <c r="A20" s="40" t="s">
        <v>65</v>
      </c>
      <c r="B20" s="7" t="s">
        <v>19</v>
      </c>
      <c r="C20" s="8">
        <v>11234.47</v>
      </c>
      <c r="D20" s="46"/>
      <c r="E20" s="12"/>
    </row>
    <row r="21" spans="1:5" ht="15">
      <c r="A21" s="40" t="s">
        <v>66</v>
      </c>
      <c r="B21" s="7" t="s">
        <v>20</v>
      </c>
      <c r="C21" s="8"/>
      <c r="D21" s="46"/>
      <c r="E21" s="12"/>
    </row>
    <row r="22" spans="1:5" ht="15">
      <c r="A22" s="40" t="s">
        <v>67</v>
      </c>
      <c r="B22" s="7" t="s">
        <v>21</v>
      </c>
      <c r="C22" s="8"/>
      <c r="D22" s="46"/>
      <c r="E22" s="12"/>
    </row>
    <row r="23" spans="1:5" ht="15">
      <c r="A23" s="40" t="s">
        <v>68</v>
      </c>
      <c r="B23" s="7" t="s">
        <v>22</v>
      </c>
      <c r="C23" s="8"/>
      <c r="D23" s="46"/>
      <c r="E23" s="12"/>
    </row>
    <row r="24" spans="1:5" ht="15">
      <c r="A24" s="40" t="s">
        <v>69</v>
      </c>
      <c r="B24" s="7" t="s">
        <v>23</v>
      </c>
      <c r="C24" s="8"/>
      <c r="D24" s="46"/>
      <c r="E24" s="12"/>
    </row>
    <row r="25" spans="1:5" ht="15">
      <c r="A25" s="40" t="s">
        <v>70</v>
      </c>
      <c r="B25" s="7" t="s">
        <v>24</v>
      </c>
      <c r="C25" s="8"/>
      <c r="D25" s="46"/>
      <c r="E25" s="12"/>
    </row>
    <row r="26" spans="1:5" ht="15">
      <c r="A26" s="40" t="s">
        <v>71</v>
      </c>
      <c r="B26" s="7" t="s">
        <v>25</v>
      </c>
      <c r="C26" s="8">
        <v>23828.85</v>
      </c>
      <c r="D26" s="46"/>
      <c r="E26" s="12"/>
    </row>
    <row r="27" spans="1:5" ht="15">
      <c r="A27" s="40" t="s">
        <v>72</v>
      </c>
      <c r="B27" s="7" t="s">
        <v>26</v>
      </c>
      <c r="C27" s="8"/>
      <c r="D27" s="46"/>
      <c r="E27" s="12"/>
    </row>
    <row r="28" spans="1:5" ht="15">
      <c r="A28" s="40" t="s">
        <v>73</v>
      </c>
      <c r="B28" s="7" t="s">
        <v>27</v>
      </c>
      <c r="C28" s="8">
        <v>134.88</v>
      </c>
      <c r="D28" s="46"/>
      <c r="E28" s="12"/>
    </row>
    <row r="29" spans="1:5" ht="15">
      <c r="A29" s="40" t="s">
        <v>74</v>
      </c>
      <c r="B29" s="7" t="s">
        <v>28</v>
      </c>
      <c r="C29" s="8">
        <v>151770.54</v>
      </c>
      <c r="D29" s="46"/>
      <c r="E29" s="12"/>
    </row>
    <row r="30" spans="1:5" ht="15">
      <c r="A30" s="40" t="s">
        <v>75</v>
      </c>
      <c r="B30" s="7" t="s">
        <v>29</v>
      </c>
      <c r="C30" s="8">
        <v>6675.46</v>
      </c>
      <c r="D30" s="46"/>
      <c r="E30" s="12"/>
    </row>
    <row r="31" spans="1:5" ht="15">
      <c r="A31" s="40" t="s">
        <v>76</v>
      </c>
      <c r="B31" s="7" t="s">
        <v>30</v>
      </c>
      <c r="C31" s="8">
        <v>93.65</v>
      </c>
      <c r="D31" s="46"/>
      <c r="E31" s="12"/>
    </row>
    <row r="32" spans="1:5" ht="15">
      <c r="A32" s="40" t="s">
        <v>77</v>
      </c>
      <c r="B32" s="7" t="s">
        <v>31</v>
      </c>
      <c r="C32" s="8"/>
      <c r="D32" s="46"/>
      <c r="E32" s="12"/>
    </row>
    <row r="33" spans="1:5" ht="15">
      <c r="A33" s="40" t="s">
        <v>78</v>
      </c>
      <c r="B33" s="7" t="s">
        <v>32</v>
      </c>
      <c r="C33" s="8">
        <v>15448.14</v>
      </c>
      <c r="D33" s="46"/>
      <c r="E33" s="12"/>
    </row>
    <row r="34" spans="1:5" ht="15">
      <c r="A34" s="40" t="s">
        <v>80</v>
      </c>
      <c r="B34" s="7" t="s">
        <v>33</v>
      </c>
      <c r="C34" s="8"/>
      <c r="D34" s="46"/>
      <c r="E34" s="12"/>
    </row>
    <row r="35" spans="1:5" ht="15">
      <c r="A35" s="40" t="s">
        <v>81</v>
      </c>
      <c r="B35" s="7" t="s">
        <v>34</v>
      </c>
      <c r="C35" s="8"/>
      <c r="D35" s="46"/>
      <c r="E35" s="12"/>
    </row>
    <row r="36" spans="1:5" ht="15">
      <c r="A36" s="40" t="s">
        <v>82</v>
      </c>
      <c r="B36" s="7" t="s">
        <v>87</v>
      </c>
      <c r="C36" s="8"/>
      <c r="D36" s="46"/>
      <c r="E36" s="12"/>
    </row>
    <row r="37" spans="1:5" ht="15">
      <c r="A37" s="40" t="s">
        <v>83</v>
      </c>
      <c r="B37" s="7" t="s">
        <v>89</v>
      </c>
      <c r="C37" s="8"/>
      <c r="D37" s="46"/>
      <c r="E37" s="12"/>
    </row>
    <row r="38" spans="1:5" ht="15">
      <c r="A38" s="40" t="s">
        <v>84</v>
      </c>
      <c r="B38" s="7" t="s">
        <v>90</v>
      </c>
      <c r="C38" s="8">
        <v>130.71</v>
      </c>
      <c r="D38" s="46"/>
      <c r="E38" s="12"/>
    </row>
    <row r="39" spans="1:5" ht="15">
      <c r="A39" s="40" t="s">
        <v>85</v>
      </c>
      <c r="B39" s="7" t="s">
        <v>93</v>
      </c>
      <c r="C39" s="8"/>
      <c r="D39" s="46"/>
      <c r="E39" s="12"/>
    </row>
    <row r="40" spans="1:5" ht="15">
      <c r="A40" s="40" t="s">
        <v>86</v>
      </c>
      <c r="B40" s="7" t="s">
        <v>94</v>
      </c>
      <c r="C40" s="8"/>
      <c r="D40" s="46"/>
      <c r="E40" s="12"/>
    </row>
    <row r="41" spans="1:5" ht="15">
      <c r="A41" s="40" t="s">
        <v>91</v>
      </c>
      <c r="B41" s="7" t="s">
        <v>98</v>
      </c>
      <c r="C41" s="8">
        <v>75</v>
      </c>
      <c r="D41" s="46"/>
      <c r="E41" s="12"/>
    </row>
    <row r="42" spans="1:5" ht="15">
      <c r="A42" s="40" t="s">
        <v>115</v>
      </c>
      <c r="B42" s="7" t="s">
        <v>113</v>
      </c>
      <c r="C42" s="8"/>
      <c r="D42" s="46"/>
      <c r="E42" s="12"/>
    </row>
    <row r="43" spans="1:5" ht="15.75" thickBot="1">
      <c r="A43" s="40" t="s">
        <v>116</v>
      </c>
      <c r="B43" s="7" t="s">
        <v>114</v>
      </c>
      <c r="C43" s="8"/>
      <c r="D43" s="46"/>
      <c r="E43" s="12"/>
    </row>
    <row r="44" spans="1:5" ht="15.75" thickBot="1">
      <c r="A44" s="54"/>
      <c r="B44" s="55" t="s">
        <v>35</v>
      </c>
      <c r="C44" s="93">
        <f>SUM(C6:C41)</f>
        <v>444549.79000000004</v>
      </c>
      <c r="D44" s="12"/>
      <c r="E44" s="12"/>
    </row>
    <row r="45" spans="1:5" ht="14.25">
      <c r="A45" s="37"/>
      <c r="B45" s="37"/>
      <c r="C45" s="83"/>
      <c r="D45" s="1"/>
      <c r="E45" s="1"/>
    </row>
    <row r="46" spans="1:5" ht="14.25">
      <c r="A46" s="37"/>
      <c r="B46" s="37"/>
      <c r="C46" s="39"/>
      <c r="D46" s="1"/>
      <c r="E46" s="1"/>
    </row>
    <row r="47" spans="1:5" ht="14.25">
      <c r="A47" s="37"/>
      <c r="B47" s="37"/>
      <c r="C47" s="37"/>
      <c r="D47" s="37"/>
      <c r="E47" s="37"/>
    </row>
    <row r="48" spans="1:5" ht="14.25">
      <c r="A48" s="37"/>
      <c r="B48" s="37"/>
      <c r="C48" s="37"/>
      <c r="D48" s="37"/>
      <c r="E48" s="37"/>
    </row>
    <row r="49" spans="1:5" ht="14.25">
      <c r="A49" s="37"/>
      <c r="B49" s="37"/>
      <c r="C49" s="37"/>
      <c r="D49" s="37"/>
      <c r="E49" s="37"/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6">
      <selection activeCell="C34" sqref="C34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97" t="s">
        <v>124</v>
      </c>
      <c r="B3" s="97"/>
      <c r="C3" s="97"/>
      <c r="D3" s="97"/>
      <c r="E3" s="97"/>
      <c r="F3" s="97"/>
      <c r="G3" s="97"/>
      <c r="H3" s="97"/>
      <c r="I3" s="97"/>
    </row>
    <row r="4" spans="1:9" ht="14.25">
      <c r="A4" s="99"/>
      <c r="B4" s="99"/>
      <c r="C4" s="99"/>
      <c r="D4" s="43"/>
      <c r="E4" s="37"/>
      <c r="F4" s="37"/>
      <c r="G4" s="37"/>
      <c r="H4" s="37"/>
      <c r="I4" s="37"/>
    </row>
    <row r="5" spans="1:9" ht="45">
      <c r="A5" s="49" t="s">
        <v>0</v>
      </c>
      <c r="B5" s="49" t="s">
        <v>1</v>
      </c>
      <c r="C5" s="51" t="s">
        <v>50</v>
      </c>
      <c r="D5" s="37"/>
      <c r="E5" s="37"/>
      <c r="F5" s="37"/>
      <c r="G5" s="37"/>
      <c r="H5" s="37"/>
      <c r="I5" s="37"/>
    </row>
    <row r="6" spans="1:9" ht="15">
      <c r="A6" s="40" t="s">
        <v>79</v>
      </c>
      <c r="B6" s="7" t="s">
        <v>6</v>
      </c>
      <c r="C6" s="47"/>
      <c r="D6" s="37"/>
      <c r="E6" s="37"/>
      <c r="F6" s="37"/>
      <c r="G6" s="37"/>
      <c r="H6" s="37"/>
      <c r="I6" s="37"/>
    </row>
    <row r="7" spans="1:9" ht="15">
      <c r="A7" s="40" t="s">
        <v>52</v>
      </c>
      <c r="B7" s="7" t="s">
        <v>39</v>
      </c>
      <c r="C7" s="47"/>
      <c r="D7" s="37"/>
      <c r="E7" s="37"/>
      <c r="F7" s="37"/>
      <c r="G7" s="37"/>
      <c r="H7" s="37"/>
      <c r="I7" s="37"/>
    </row>
    <row r="8" spans="1:9" ht="15">
      <c r="A8" s="40" t="s">
        <v>53</v>
      </c>
      <c r="B8" s="7" t="s">
        <v>8</v>
      </c>
      <c r="C8" s="47"/>
      <c r="D8" s="37"/>
      <c r="E8" s="37"/>
      <c r="F8" s="37"/>
      <c r="G8" s="37"/>
      <c r="H8" s="37"/>
      <c r="I8" s="37"/>
    </row>
    <row r="9" spans="1:9" ht="15">
      <c r="A9" s="40" t="s">
        <v>54</v>
      </c>
      <c r="B9" s="7" t="s">
        <v>9</v>
      </c>
      <c r="C9" s="47"/>
      <c r="D9" s="37"/>
      <c r="E9" s="37"/>
      <c r="F9" s="37"/>
      <c r="G9" s="37"/>
      <c r="H9" s="37"/>
      <c r="I9" s="37"/>
    </row>
    <row r="10" spans="1:9" ht="15">
      <c r="A10" s="40" t="s">
        <v>55</v>
      </c>
      <c r="B10" s="7" t="s">
        <v>10</v>
      </c>
      <c r="C10" s="47"/>
      <c r="D10" s="37"/>
      <c r="E10" s="37"/>
      <c r="F10" s="37"/>
      <c r="G10" s="37"/>
      <c r="H10" s="37"/>
      <c r="I10" s="37"/>
    </row>
    <row r="11" spans="1:9" ht="15">
      <c r="A11" s="40" t="s">
        <v>56</v>
      </c>
      <c r="B11" s="7" t="s">
        <v>11</v>
      </c>
      <c r="C11" s="47"/>
      <c r="D11" s="37"/>
      <c r="E11" s="37"/>
      <c r="F11" s="37"/>
      <c r="G11" s="37"/>
      <c r="H11" s="37"/>
      <c r="I11" s="37"/>
    </row>
    <row r="12" spans="1:9" ht="15">
      <c r="A12" s="40" t="s">
        <v>57</v>
      </c>
      <c r="B12" s="7" t="s">
        <v>12</v>
      </c>
      <c r="C12" s="47"/>
      <c r="D12" s="37"/>
      <c r="E12" s="37"/>
      <c r="F12" s="37"/>
      <c r="G12" s="37"/>
      <c r="H12" s="37"/>
      <c r="I12" s="37"/>
    </row>
    <row r="13" spans="1:9" ht="15">
      <c r="A13" s="40" t="s">
        <v>58</v>
      </c>
      <c r="B13" s="7" t="s">
        <v>13</v>
      </c>
      <c r="C13" s="47"/>
      <c r="D13" s="37"/>
      <c r="E13" s="37"/>
      <c r="F13" s="37"/>
      <c r="G13" s="37"/>
      <c r="H13" s="37"/>
      <c r="I13" s="37"/>
    </row>
    <row r="14" spans="1:9" ht="15">
      <c r="A14" s="40" t="s">
        <v>59</v>
      </c>
      <c r="B14" s="7" t="s">
        <v>112</v>
      </c>
      <c r="C14" s="47"/>
      <c r="D14" s="37"/>
      <c r="E14" s="37"/>
      <c r="F14" s="37"/>
      <c r="G14" s="37"/>
      <c r="H14" s="37"/>
      <c r="I14" s="37"/>
    </row>
    <row r="15" spans="1:9" ht="15">
      <c r="A15" s="40" t="s">
        <v>60</v>
      </c>
      <c r="B15" s="7" t="s">
        <v>14</v>
      </c>
      <c r="C15" s="8">
        <v>34796.59</v>
      </c>
      <c r="D15" s="37"/>
      <c r="E15" s="37"/>
      <c r="F15" s="37"/>
      <c r="G15" s="37"/>
      <c r="H15" s="37"/>
      <c r="I15" s="37"/>
    </row>
    <row r="16" spans="1:9" ht="15">
      <c r="A16" s="40" t="s">
        <v>61</v>
      </c>
      <c r="B16" s="7" t="s">
        <v>15</v>
      </c>
      <c r="C16" s="47"/>
      <c r="D16" s="37"/>
      <c r="E16" s="37"/>
      <c r="F16" s="37"/>
      <c r="G16" s="37"/>
      <c r="H16" s="37"/>
      <c r="I16" s="37"/>
    </row>
    <row r="17" spans="1:9" ht="15">
      <c r="A17" s="40" t="s">
        <v>62</v>
      </c>
      <c r="B17" s="7" t="s">
        <v>40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63</v>
      </c>
      <c r="B18" s="7" t="s">
        <v>17</v>
      </c>
      <c r="C18" s="47"/>
      <c r="D18" s="37"/>
      <c r="E18" s="37"/>
      <c r="F18" s="37"/>
      <c r="G18" s="37"/>
      <c r="H18" s="37"/>
      <c r="I18" s="37"/>
    </row>
    <row r="19" spans="1:9" ht="15">
      <c r="A19" s="40" t="s">
        <v>64</v>
      </c>
      <c r="B19" s="7" t="s">
        <v>18</v>
      </c>
      <c r="C19" s="47"/>
      <c r="D19" s="37"/>
      <c r="E19" s="37"/>
      <c r="F19" s="37"/>
      <c r="G19" s="37"/>
      <c r="H19" s="37"/>
      <c r="I19" s="37"/>
    </row>
    <row r="20" spans="1:9" ht="15">
      <c r="A20" s="40" t="s">
        <v>65</v>
      </c>
      <c r="B20" s="7" t="s">
        <v>19</v>
      </c>
      <c r="C20" s="47"/>
      <c r="D20" s="37"/>
      <c r="E20" s="37"/>
      <c r="F20" s="37"/>
      <c r="G20" s="37"/>
      <c r="H20" s="37"/>
      <c r="I20" s="37"/>
    </row>
    <row r="21" spans="1:9" ht="15">
      <c r="A21" s="40" t="s">
        <v>66</v>
      </c>
      <c r="B21" s="7" t="s">
        <v>20</v>
      </c>
      <c r="C21" s="47"/>
      <c r="D21" s="37"/>
      <c r="E21" s="37"/>
      <c r="F21" s="37"/>
      <c r="G21" s="37"/>
      <c r="H21" s="37"/>
      <c r="I21" s="37"/>
    </row>
    <row r="22" spans="1:9" ht="15">
      <c r="A22" s="40" t="s">
        <v>67</v>
      </c>
      <c r="B22" s="7" t="s">
        <v>21</v>
      </c>
      <c r="C22" s="47"/>
      <c r="D22" s="37"/>
      <c r="E22" s="37"/>
      <c r="F22" s="37"/>
      <c r="G22" s="37"/>
      <c r="H22" s="37"/>
      <c r="I22" s="37"/>
    </row>
    <row r="23" spans="1:9" ht="15">
      <c r="A23" s="40" t="s">
        <v>68</v>
      </c>
      <c r="B23" s="7" t="s">
        <v>22</v>
      </c>
      <c r="C23" s="47"/>
      <c r="D23" s="37"/>
      <c r="E23" s="37"/>
      <c r="F23" s="37"/>
      <c r="G23" s="37"/>
      <c r="H23" s="37"/>
      <c r="I23" s="37"/>
    </row>
    <row r="24" spans="1:9" ht="15">
      <c r="A24" s="40" t="s">
        <v>69</v>
      </c>
      <c r="B24" s="7" t="s">
        <v>23</v>
      </c>
      <c r="C24" s="47"/>
      <c r="D24" s="37"/>
      <c r="E24" s="37"/>
      <c r="F24" s="37"/>
      <c r="G24" s="37"/>
      <c r="H24" s="37"/>
      <c r="I24" s="37"/>
    </row>
    <row r="25" spans="1:9" ht="15">
      <c r="A25" s="40" t="s">
        <v>70</v>
      </c>
      <c r="B25" s="7" t="s">
        <v>24</v>
      </c>
      <c r="C25" s="47"/>
      <c r="D25" s="37"/>
      <c r="E25" s="37"/>
      <c r="F25" s="37"/>
      <c r="G25" s="37"/>
      <c r="H25" s="37"/>
      <c r="I25" s="37"/>
    </row>
    <row r="26" spans="1:9" ht="15">
      <c r="A26" s="40" t="s">
        <v>71</v>
      </c>
      <c r="B26" s="7" t="s">
        <v>25</v>
      </c>
      <c r="C26" s="47"/>
      <c r="D26" s="37"/>
      <c r="E26" s="37"/>
      <c r="F26" s="37"/>
      <c r="G26" s="37"/>
      <c r="H26" s="37"/>
      <c r="I26" s="37"/>
    </row>
    <row r="27" spans="1:9" ht="15">
      <c r="A27" s="40" t="s">
        <v>72</v>
      </c>
      <c r="B27" s="7" t="s">
        <v>26</v>
      </c>
      <c r="C27" s="47"/>
      <c r="D27" s="37"/>
      <c r="E27" s="37"/>
      <c r="F27" s="37"/>
      <c r="G27" s="37"/>
      <c r="H27" s="37"/>
      <c r="I27" s="37"/>
    </row>
    <row r="28" spans="1:9" ht="15">
      <c r="A28" s="40" t="s">
        <v>73</v>
      </c>
      <c r="B28" s="7" t="s">
        <v>27</v>
      </c>
      <c r="C28" s="47"/>
      <c r="D28" s="37"/>
      <c r="E28" s="37"/>
      <c r="F28" s="37"/>
      <c r="G28" s="37"/>
      <c r="H28" s="37"/>
      <c r="I28" s="37"/>
    </row>
    <row r="29" spans="1:9" ht="15">
      <c r="A29" s="40" t="s">
        <v>74</v>
      </c>
      <c r="B29" s="7" t="s">
        <v>28</v>
      </c>
      <c r="C29" s="47"/>
      <c r="D29" s="37"/>
      <c r="E29" s="37"/>
      <c r="F29" s="37"/>
      <c r="G29" s="37"/>
      <c r="H29" s="37"/>
      <c r="I29" s="37"/>
    </row>
    <row r="30" spans="1:9" ht="15">
      <c r="A30" s="40" t="s">
        <v>75</v>
      </c>
      <c r="B30" s="7" t="s">
        <v>29</v>
      </c>
      <c r="C30" s="47"/>
      <c r="D30" s="37"/>
      <c r="E30" s="37"/>
      <c r="F30" s="37"/>
      <c r="G30" s="37"/>
      <c r="H30" s="37"/>
      <c r="I30" s="37"/>
    </row>
    <row r="31" spans="1:9" ht="15">
      <c r="A31" s="40" t="s">
        <v>76</v>
      </c>
      <c r="B31" s="7" t="s">
        <v>30</v>
      </c>
      <c r="C31" s="47"/>
      <c r="D31" s="37"/>
      <c r="E31" s="37"/>
      <c r="F31" s="37"/>
      <c r="G31" s="37"/>
      <c r="H31" s="37"/>
      <c r="I31" s="37"/>
    </row>
    <row r="32" spans="1:9" ht="15">
      <c r="A32" s="40" t="s">
        <v>77</v>
      </c>
      <c r="B32" s="7" t="s">
        <v>31</v>
      </c>
      <c r="C32" s="47"/>
      <c r="D32" s="37"/>
      <c r="E32" s="37"/>
      <c r="F32" s="37"/>
      <c r="G32" s="37"/>
      <c r="H32" s="37"/>
      <c r="I32" s="37"/>
    </row>
    <row r="33" spans="1:9" ht="15">
      <c r="A33" s="40" t="s">
        <v>78</v>
      </c>
      <c r="B33" s="7" t="s">
        <v>32</v>
      </c>
      <c r="C33" s="47">
        <v>6971.84</v>
      </c>
      <c r="D33" s="37"/>
      <c r="E33" s="37"/>
      <c r="F33" s="37"/>
      <c r="G33" s="37"/>
      <c r="H33" s="37"/>
      <c r="I33" s="37"/>
    </row>
    <row r="34" spans="1:9" ht="15">
      <c r="A34" s="40" t="s">
        <v>80</v>
      </c>
      <c r="B34" s="7" t="s">
        <v>33</v>
      </c>
      <c r="C34" s="47"/>
      <c r="D34" s="37"/>
      <c r="E34" s="37"/>
      <c r="F34" s="37"/>
      <c r="G34" s="37"/>
      <c r="H34" s="37"/>
      <c r="I34" s="37"/>
    </row>
    <row r="35" spans="1:9" ht="15">
      <c r="A35" s="40" t="s">
        <v>81</v>
      </c>
      <c r="B35" s="7" t="s">
        <v>34</v>
      </c>
      <c r="C35" s="47"/>
      <c r="D35" s="37"/>
      <c r="E35" s="37"/>
      <c r="F35" s="37"/>
      <c r="G35" s="37"/>
      <c r="H35" s="37"/>
      <c r="I35" s="37"/>
    </row>
    <row r="36" spans="1:9" ht="15">
      <c r="A36" s="40" t="s">
        <v>82</v>
      </c>
      <c r="B36" s="7" t="s">
        <v>87</v>
      </c>
      <c r="C36" s="47"/>
      <c r="D36" s="37"/>
      <c r="E36" s="37"/>
      <c r="F36" s="37"/>
      <c r="G36" s="37"/>
      <c r="H36" s="37"/>
      <c r="I36" s="37"/>
    </row>
    <row r="37" spans="1:9" ht="15">
      <c r="A37" s="40" t="s">
        <v>83</v>
      </c>
      <c r="B37" s="7" t="s">
        <v>89</v>
      </c>
      <c r="C37" s="47"/>
      <c r="D37" s="37"/>
      <c r="E37" s="37"/>
      <c r="F37" s="37"/>
      <c r="G37" s="37"/>
      <c r="H37" s="37"/>
      <c r="I37" s="37"/>
    </row>
    <row r="38" spans="1:9" ht="15">
      <c r="A38" s="40" t="s">
        <v>84</v>
      </c>
      <c r="B38" s="7" t="s">
        <v>90</v>
      </c>
      <c r="C38" s="47"/>
      <c r="D38" s="37"/>
      <c r="E38" s="37"/>
      <c r="F38" s="37"/>
      <c r="G38" s="37"/>
      <c r="H38" s="37"/>
      <c r="I38" s="37"/>
    </row>
    <row r="39" spans="1:9" ht="15">
      <c r="A39" s="40" t="s">
        <v>85</v>
      </c>
      <c r="B39" s="7" t="s">
        <v>93</v>
      </c>
      <c r="C39" s="47"/>
      <c r="D39" s="37"/>
      <c r="E39" s="37"/>
      <c r="F39" s="37"/>
      <c r="G39" s="37"/>
      <c r="H39" s="37"/>
      <c r="I39" s="37"/>
    </row>
    <row r="40" spans="1:9" ht="15">
      <c r="A40" s="40" t="s">
        <v>86</v>
      </c>
      <c r="B40" s="7" t="s">
        <v>94</v>
      </c>
      <c r="C40" s="47"/>
      <c r="D40" s="37"/>
      <c r="E40" s="37"/>
      <c r="F40" s="37"/>
      <c r="G40" s="37"/>
      <c r="H40" s="37"/>
      <c r="I40" s="37"/>
    </row>
    <row r="41" spans="1:9" ht="15">
      <c r="A41" s="40" t="s">
        <v>91</v>
      </c>
      <c r="B41" s="7" t="s">
        <v>98</v>
      </c>
      <c r="C41" s="47"/>
      <c r="D41" s="37"/>
      <c r="E41" s="37"/>
      <c r="F41" s="37"/>
      <c r="G41" s="37"/>
      <c r="H41" s="37"/>
      <c r="I41" s="37"/>
    </row>
    <row r="42" spans="1:9" ht="15">
      <c r="A42" s="40" t="s">
        <v>115</v>
      </c>
      <c r="B42" s="7" t="s">
        <v>113</v>
      </c>
      <c r="C42" s="47"/>
      <c r="D42" s="37"/>
      <c r="E42" s="37"/>
      <c r="F42" s="37"/>
      <c r="G42" s="37"/>
      <c r="H42" s="37"/>
      <c r="I42" s="37"/>
    </row>
    <row r="43" spans="1:9" ht="15.75" thickBot="1">
      <c r="A43" s="40" t="s">
        <v>116</v>
      </c>
      <c r="B43" s="7" t="s">
        <v>114</v>
      </c>
      <c r="C43" s="47"/>
      <c r="D43" s="37"/>
      <c r="E43" s="37"/>
      <c r="F43" s="37"/>
      <c r="G43" s="37"/>
      <c r="H43" s="37"/>
      <c r="I43" s="37"/>
    </row>
    <row r="44" spans="1:9" ht="15.75" thickBot="1">
      <c r="A44" s="54"/>
      <c r="B44" s="55" t="s">
        <v>35</v>
      </c>
      <c r="C44" s="93">
        <f>SUM(C6:C41)</f>
        <v>41768.42999999999</v>
      </c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2019-10-16T11:54:10Z</cp:lastPrinted>
  <dcterms:created xsi:type="dcterms:W3CDTF">2011-06-30T06:54:46Z</dcterms:created>
  <dcterms:modified xsi:type="dcterms:W3CDTF">2019-10-17T07:49:27Z</dcterms:modified>
  <cp:category/>
  <cp:version/>
  <cp:contentType/>
  <cp:contentStatus/>
</cp:coreProperties>
</file>